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Index - Table 1" sheetId="1" r:id="rId1"/>
    <sheet name="Provider - Table 1" sheetId="2" r:id="rId2"/>
    <sheet name="Enrol - Table 1" sheetId="3" r:id="rId3"/>
    <sheet name="Ave Enrol - Table 1" sheetId="4" r:id="rId4"/>
    <sheet name="Enrol NZ Region - Table 1" sheetId="5" r:id="rId5"/>
    <sheet name="Stud Sector - Table 1" sheetId="6" r:id="rId6"/>
    <sheet name="Stud Country - Table 1" sheetId="7" r:id="rId7"/>
    <sheet name="Stud Major Countries - Table 1" sheetId="8" r:id="rId8"/>
    <sheet name="Stud continue - Table 1" sheetId="9" r:id="rId9"/>
    <sheet name="Levy - Table 1" sheetId="10" r:id="rId10"/>
    <sheet name="Field - Table 1" sheetId="11" r:id="rId11"/>
    <sheet name="ELS - Table 1" sheetId="12" r:id="rId12"/>
  </sheets>
  <definedNames/>
  <calcPr fullCalcOnLoad="1"/>
</workbook>
</file>

<file path=xl/sharedStrings.xml><?xml version="1.0" encoding="utf-8"?>
<sst xmlns="http://schemas.openxmlformats.org/spreadsheetml/2006/main" count="371" uniqueCount="212">
  <si>
    <t>Export Education Levy Key Statistics  (1 January to 30 April, 2003 to 2012)</t>
  </si>
  <si>
    <t>Worksheet</t>
  </si>
  <si>
    <t>Table Name</t>
  </si>
  <si>
    <t>Provider</t>
  </si>
  <si>
    <t>Number of providers with international fee-paying students for period 1 January to 30 April (2003 to 2012)</t>
  </si>
  <si>
    <t>Enrol</t>
  </si>
  <si>
    <t>Number of enrolments of international fee-paying students for the period 1 January to 30 April (2003 to 2012)</t>
  </si>
  <si>
    <t>Ave Enrol</t>
  </si>
  <si>
    <t>Average number of international fee-paying enrolments per provider for the period 1 January to 30 April (2003 to 2012)</t>
  </si>
  <si>
    <t>Enrol NZ Region</t>
  </si>
  <si>
    <t>Distribution of international fee-paying students by Regional Council for the period 1 January to 30 April (2003 to 2012)</t>
  </si>
  <si>
    <t>Stud Sector</t>
  </si>
  <si>
    <t>Number of students by education sector for period 1 January to 30 April (2003 to 2012)</t>
  </si>
  <si>
    <t>Stud Country</t>
  </si>
  <si>
    <t>Number of international fee-paying students by Country of Citizenship for main source countries for the period 1 January to 30 April (2007 to 2012)</t>
  </si>
  <si>
    <t>Stud Major Countries</t>
  </si>
  <si>
    <t>Distribution by sector for international fee-paying students from 5 major source countries for 2012</t>
  </si>
  <si>
    <t>Stud continue</t>
  </si>
  <si>
    <t>Proportion of new students to continuing students by sector for period 1 January to 30 April (2007 to 2012)</t>
  </si>
  <si>
    <t>Levy</t>
  </si>
  <si>
    <t>Cumulative levy collected by sector (GST Excl) for the period 1 January to 30 April (2003 to 2012)</t>
  </si>
  <si>
    <t>Field</t>
  </si>
  <si>
    <t>Broad field of study taken by international fee-paying students for period 1 January to 30 April (2011 to 2012</t>
  </si>
  <si>
    <t>ELS</t>
  </si>
  <si>
    <t>Number of students at English Language Schools (ELS) 2011</t>
  </si>
  <si>
    <t>Glossary of terms</t>
  </si>
  <si>
    <t>1.  Students is a measure of individuals where each person is counted only once, Enrolments is a measure of participation so individuals may be counted more than once, for example, if they enrol with more than one provider during the same period.</t>
  </si>
  <si>
    <t xml:space="preserve">2.  "SDR Providers" refers to private training establishments (PTEs) that receive some Government funding </t>
  </si>
  <si>
    <t>3.  "Non-SDR Providers" refers to private training establishments (PTEs) that do not receive any Government funding.</t>
  </si>
  <si>
    <t>6.  "Subsidiary Providers" refers to language units that operate under the auspices of a registered provider such as a school or university or PTE.</t>
  </si>
  <si>
    <t>7.  The Export Education Levy has been in operation since January 2003. The levy is made up of two components: an annual flat fee of $185 plus a variable component based on 0.45% of international tuition revenue.</t>
  </si>
  <si>
    <t>Data sources</t>
  </si>
  <si>
    <t>1.  Schools data are obtained from the ENROL database since 2007, prior to that it was based on the 1 March roll return.</t>
  </si>
  <si>
    <t>2.  Tertiary providers that receive any form of government funding submit a statistical return called the Single Data Return (SDR).  The SDR holds data at the individual student level.</t>
  </si>
  <si>
    <t xml:space="preserve">3.  Tertiary providers that do not receive government funding (non-SDR providers) submit levy information via a web page. </t>
  </si>
  <si>
    <t>Number of providers with international fee-paying (IFP) students for period 1 January to 30 April (2003 to 2012)</t>
  </si>
  <si>
    <t>Provider Type</t>
  </si>
  <si>
    <t>Schools</t>
  </si>
  <si>
    <t>Primary/Intermediate</t>
  </si>
  <si>
    <t>Secondary/Composite/Special</t>
  </si>
  <si>
    <t>Sub-total Schools</t>
  </si>
  <si>
    <t>Tertiary Education Institutions (TEIs)</t>
  </si>
  <si>
    <t>Polytechnics</t>
  </si>
  <si>
    <t>Colleges of Education</t>
  </si>
  <si>
    <t>Universities</t>
  </si>
  <si>
    <t>Wananga</t>
  </si>
  <si>
    <t>Sub-total TEIs</t>
  </si>
  <si>
    <t>Private Training Establishments (PTEs)</t>
  </si>
  <si>
    <t>SDR Providers</t>
  </si>
  <si>
    <t>Non-SDR Providers</t>
  </si>
  <si>
    <t>Sub-total PTEs</t>
  </si>
  <si>
    <t>Subsidiary Providers</t>
  </si>
  <si>
    <t>Sub-total Tertiary</t>
  </si>
  <si>
    <t xml:space="preserve">Total Number of Providers with IFP students </t>
  </si>
  <si>
    <t>Number of enrolments of international fee-paying (IFP) students for the period 1 January to 30 April (2003 to 2012)</t>
  </si>
  <si>
    <t>% change 2011 to 2012</t>
  </si>
  <si>
    <t>Total number of enrolments of IFP students</t>
  </si>
  <si>
    <t>Notes:</t>
  </si>
  <si>
    <t>Because students can enrol at more than one provider the number of enrolments will always exceed the number of students shown on later tables.</t>
  </si>
  <si>
    <t>TEIs</t>
  </si>
  <si>
    <t>Private Providers</t>
  </si>
  <si>
    <t>Average number of IFP students per provider</t>
  </si>
  <si>
    <t>Regional Council</t>
  </si>
  <si>
    <t>2012 Distribution (percentage)</t>
  </si>
  <si>
    <t>Northland</t>
  </si>
  <si>
    <t>Auckland</t>
  </si>
  <si>
    <t>Waikato</t>
  </si>
  <si>
    <t>Bay of Plenty</t>
  </si>
  <si>
    <t>Gisborne</t>
  </si>
  <si>
    <t>Hawkes Bay</t>
  </si>
  <si>
    <t>Taranaki</t>
  </si>
  <si>
    <t>Manawatu-Wanganui</t>
  </si>
  <si>
    <t>Wellington</t>
  </si>
  <si>
    <t>Tasman</t>
  </si>
  <si>
    <t>Nelson</t>
  </si>
  <si>
    <t>Marlborough</t>
  </si>
  <si>
    <t>West Coast</t>
  </si>
  <si>
    <t>Canterbury</t>
  </si>
  <si>
    <t>Otago</t>
  </si>
  <si>
    <t>Southland</t>
  </si>
  <si>
    <t xml:space="preserve">Extra-mural </t>
  </si>
  <si>
    <t>Total number of IFP students</t>
  </si>
  <si>
    <t>This table is a count of enrolments</t>
  </si>
  <si>
    <t xml:space="preserve">Number of international fee-paying students by sector for the period 1 January to 30 April (2007 to 2012)
</t>
  </si>
  <si>
    <t>Subsidiary providers</t>
  </si>
  <si>
    <t>Because students can enrol at more than one provider the number of enrolments will always be larger than the student count</t>
  </si>
  <si>
    <t xml:space="preserve">The introduction of the National Student Number (NSN) in the school sector in 2007 enables the MOE to identify students
</t>
  </si>
  <si>
    <t>enrolled at more than one provider and therefore calculate the number of students as distinct from the number of enrolments.</t>
  </si>
  <si>
    <t xml:space="preserve">Distribution of international fee-paying students by Country of Citizenship for main source countries
for the period 1 January to 30 April (2007 to 2012)
</t>
  </si>
  <si>
    <t>Country of Citizenship</t>
  </si>
  <si>
    <t>China incl territory of Hong Kong</t>
  </si>
  <si>
    <t>India</t>
  </si>
  <si>
    <t>South Korea</t>
  </si>
  <si>
    <t>Japan</t>
  </si>
  <si>
    <t>Saudi Arabia</t>
  </si>
  <si>
    <t>Thailand</t>
  </si>
  <si>
    <t>Malaysia</t>
  </si>
  <si>
    <t>Germany</t>
  </si>
  <si>
    <t>Vietnam</t>
  </si>
  <si>
    <t>Brazil</t>
  </si>
  <si>
    <t>USA</t>
  </si>
  <si>
    <t>France (incl Tahiti, New Caledonia, French Polynesia)</t>
  </si>
  <si>
    <t>Philippines</t>
  </si>
  <si>
    <t>Taiwan</t>
  </si>
  <si>
    <t>Fiji</t>
  </si>
  <si>
    <t>Russia</t>
  </si>
  <si>
    <t>Switzerland</t>
  </si>
  <si>
    <t>Sri Lanka</t>
  </si>
  <si>
    <t>Columbia</t>
  </si>
  <si>
    <t>Chile</t>
  </si>
  <si>
    <t>Indonesia</t>
  </si>
  <si>
    <t>United Kingdom</t>
  </si>
  <si>
    <t>Canada</t>
  </si>
  <si>
    <t>Singapore</t>
  </si>
  <si>
    <t>Nepal</t>
  </si>
  <si>
    <t>Kuwait</t>
  </si>
  <si>
    <t>Tonga</t>
  </si>
  <si>
    <t>Spain</t>
  </si>
  <si>
    <t>Argentina</t>
  </si>
  <si>
    <t xml:space="preserve">Oman </t>
  </si>
  <si>
    <t>Iran</t>
  </si>
  <si>
    <t>Norway</t>
  </si>
  <si>
    <t>Cambodia</t>
  </si>
  <si>
    <t>South Africa</t>
  </si>
  <si>
    <t>Papua New Guinea</t>
  </si>
  <si>
    <t>Mexico</t>
  </si>
  <si>
    <t>Samoa</t>
  </si>
  <si>
    <t>Italy</t>
  </si>
  <si>
    <t>Pakistan</t>
  </si>
  <si>
    <t>All other countries</t>
  </si>
  <si>
    <t>Number of international fee-paying students by education sector for the five major source countries 
for the period 1 January to 30 April 2012</t>
  </si>
  <si>
    <t>Primary</t>
  </si>
  <si>
    <t>Secondary</t>
  </si>
  <si>
    <t>Polytechnic</t>
  </si>
  <si>
    <t>University</t>
  </si>
  <si>
    <t>SDR providers</t>
  </si>
  <si>
    <t>non-SDR providers</t>
  </si>
  <si>
    <t>TOTAL</t>
  </si>
  <si>
    <t>China</t>
  </si>
  <si>
    <t>Number</t>
  </si>
  <si>
    <t>% across sectors</t>
  </si>
  <si>
    <t>% within sector</t>
  </si>
  <si>
    <t>All Other Countries</t>
  </si>
  <si>
    <t>Number and proportion of new students to continuing students for the period 1 January to 30 April (2007 to 2012)</t>
  </si>
  <si>
    <t>Primary schools</t>
  </si>
  <si>
    <t>New</t>
  </si>
  <si>
    <t>Continuing</t>
  </si>
  <si>
    <t>TOTAL PRIMARY</t>
  </si>
  <si>
    <t>% new</t>
  </si>
  <si>
    <t>Secondary schools</t>
  </si>
  <si>
    <t>TOTAL SECONDARY</t>
  </si>
  <si>
    <t>TOTAL POLYTECHNIC</t>
  </si>
  <si>
    <t>TOTAL UNIVERSITIES</t>
  </si>
  <si>
    <t>SDR Private Providers</t>
  </si>
  <si>
    <t>TOTAL SDR Private providers</t>
  </si>
  <si>
    <t>Non-SDR Private Providers</t>
  </si>
  <si>
    <t>na</t>
  </si>
  <si>
    <t>TOTAL Non-SDR Private Providers</t>
  </si>
  <si>
    <t>TOTAL Subsidiary providers</t>
  </si>
  <si>
    <t>New students refers to international fee-paying students who have arrived in NZ in the current year, while continuing refers</t>
  </si>
  <si>
    <t>to students who have carried over their study from the previous year or years.</t>
  </si>
  <si>
    <t>Levy collected by sector (GST Excl) for the period 1 January to 30 April (2003 to 2012)</t>
  </si>
  <si>
    <t>% distribution2012</t>
  </si>
  <si>
    <t>Total levy collected in period</t>
  </si>
  <si>
    <t>Field of Study undertaken by International Fee-Paying Students</t>
  </si>
  <si>
    <t>% distribution 2012</t>
  </si>
  <si>
    <t>Natural and Physical Sciences</t>
  </si>
  <si>
    <t>Information Technology</t>
  </si>
  <si>
    <t>Engineering</t>
  </si>
  <si>
    <t>Architecture and Building</t>
  </si>
  <si>
    <t>Agriculture/Horticulture/Environment</t>
  </si>
  <si>
    <t xml:space="preserve">Health </t>
  </si>
  <si>
    <t>Education</t>
  </si>
  <si>
    <t>Management and Commerce</t>
  </si>
  <si>
    <t>Society and Culture</t>
  </si>
  <si>
    <t>Creative Arts</t>
  </si>
  <si>
    <t>Food/Hospitality/Personal Services</t>
  </si>
  <si>
    <t>Foundation Studies</t>
  </si>
  <si>
    <t>Pilot Training</t>
  </si>
  <si>
    <t>ESOL (English for Speakers of other languages)</t>
  </si>
  <si>
    <t>TESOL ( teaching English to Speakers of other languages</t>
  </si>
  <si>
    <t>Adventure Education</t>
  </si>
  <si>
    <t>Note: the classification of field of study is largely based on the NZSCED (New Zealand Standard Classification of Education)</t>
  </si>
  <si>
    <t>English Language learning in the Tertiary Sector- Trimester 1 2012</t>
  </si>
  <si>
    <t>A large number of international fee-paying students come to New Zealand to learn English.</t>
  </si>
  <si>
    <t>Number of English language students by type of provider</t>
  </si>
  <si>
    <t>No of providers</t>
  </si>
  <si>
    <t>No of international students</t>
  </si>
  <si>
    <t>English Language School PTEs*</t>
  </si>
  <si>
    <t>other non-funded PTEs</t>
  </si>
  <si>
    <t>Funded PTEs</t>
  </si>
  <si>
    <t>PTE ELU</t>
  </si>
  <si>
    <t>School ELU</t>
  </si>
  <si>
    <t>University ELU</t>
  </si>
  <si>
    <t>Total international students studying English</t>
  </si>
  <si>
    <t>Total number of international tertiary students</t>
  </si>
  <si>
    <t>% studying English in tertiary sector</t>
  </si>
  <si>
    <t>Country of Citizenship of English Language School students</t>
  </si>
  <si>
    <t>Korea</t>
  </si>
  <si>
    <t xml:space="preserve">France and territories </t>
  </si>
  <si>
    <t>Viet Nam</t>
  </si>
  <si>
    <t>Czech Republic</t>
  </si>
  <si>
    <t>Turkey</t>
  </si>
  <si>
    <t>Belgium</t>
  </si>
  <si>
    <t>Austria</t>
  </si>
  <si>
    <t>Netherlands</t>
  </si>
  <si>
    <t>Sweden</t>
  </si>
  <si>
    <t>Peru</t>
  </si>
  <si>
    <t>all other countries</t>
  </si>
  <si>
    <t>Total</t>
  </si>
  <si>
    <t>Region of Study in New Zealand of English Language School students</t>
  </si>
  <si>
    <t>Region of Study in NZ</t>
  </si>
</sst>
</file>

<file path=xl/styles.xml><?xml version="1.0" encoding="utf-8"?>
<styleSheet xmlns="http://schemas.openxmlformats.org/spreadsheetml/2006/main">
  <numFmts count="5">
    <numFmt numFmtId="59" formatCode="[$USD]#,##0"/>
    <numFmt numFmtId="60" formatCode="0.0%"/>
    <numFmt numFmtId="61" formatCode="\ * #,##0\ ;&quot;-&quot;* #,##0\ ;\ * &quot;-&quot;??\ "/>
    <numFmt numFmtId="62" formatCode="0.0"/>
    <numFmt numFmtId="63" formatCode="#,##0.0"/>
  </numFmts>
  <fonts count="9">
    <font>
      <sz val="11"/>
      <color indexed="8"/>
      <name val="Helvetica Neue"/>
      <family val="0"/>
    </font>
    <font>
      <sz val="10"/>
      <color indexed="9"/>
      <name val="Arial"/>
      <family val="0"/>
    </font>
    <font>
      <sz val="12"/>
      <color indexed="9"/>
      <name val="Arial Bold"/>
      <family val="0"/>
    </font>
    <font>
      <sz val="10"/>
      <color indexed="9"/>
      <name val="Arial Bold"/>
      <family val="0"/>
    </font>
    <font>
      <u val="single"/>
      <sz val="10"/>
      <color indexed="12"/>
      <name val="Arial"/>
      <family val="0"/>
    </font>
    <font>
      <sz val="11"/>
      <color indexed="9"/>
      <name val="Arial Bold"/>
      <family val="0"/>
    </font>
    <font>
      <sz val="8"/>
      <color indexed="9"/>
      <name val="Arial"/>
      <family val="0"/>
    </font>
    <font>
      <sz val="14"/>
      <color indexed="9"/>
      <name val="Arial Bold"/>
      <family val="0"/>
    </font>
    <font>
      <sz val="11"/>
      <color indexed="9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</fills>
  <borders count="33">
    <border>
      <left/>
      <right/>
      <top/>
      <bottom/>
      <diagonal/>
    </border>
    <border>
      <left style="thin">
        <color indexed="11"/>
      </left>
      <right>
        <color indexed="11"/>
      </right>
      <top style="thin">
        <color indexed="11"/>
      </top>
      <bottom>
        <color indexed="11"/>
      </bottom>
    </border>
    <border>
      <left>
        <color indexed="11"/>
      </left>
      <right>
        <color indexed="11"/>
      </right>
      <top style="thin">
        <color indexed="11"/>
      </top>
      <bottom>
        <color indexed="11"/>
      </bottom>
    </border>
    <border>
      <left>
        <color indexed="11"/>
      </left>
      <right style="thin">
        <color indexed="11"/>
      </right>
      <top style="thin">
        <color indexed="11"/>
      </top>
      <bottom>
        <color indexed="11"/>
      </bottom>
    </border>
    <border>
      <left style="thin">
        <color indexed="11"/>
      </left>
      <right>
        <color indexed="11"/>
      </right>
      <top>
        <color indexed="11"/>
      </top>
      <bottom>
        <color indexed="11"/>
      </bottom>
    </border>
    <border>
      <left>
        <color indexed="11"/>
      </left>
      <right style="thin">
        <color indexed="11"/>
      </right>
      <top>
        <color indexed="11"/>
      </top>
      <bottom>
        <color indexed="11"/>
      </bottom>
    </border>
    <border>
      <left style="thin">
        <color indexed="11"/>
      </left>
      <right>
        <color indexed="11"/>
      </right>
      <top>
        <color indexed="11"/>
      </top>
      <bottom style="thin">
        <color indexed="11"/>
      </bottom>
    </border>
    <border>
      <left>
        <color indexed="11"/>
      </left>
      <right>
        <color indexed="11"/>
      </right>
      <top>
        <color indexed="11"/>
      </top>
      <bottom style="thin">
        <color indexed="11"/>
      </bottom>
    </border>
    <border>
      <left>
        <color indexed="11"/>
      </left>
      <right style="thin">
        <color indexed="11"/>
      </right>
      <top>
        <color indexed="11"/>
      </top>
      <bottom style="thin">
        <color indexed="11"/>
      </bottom>
    </border>
    <border>
      <left>
        <color indexed="11"/>
      </left>
      <right>
        <color indexed="11"/>
      </right>
      <top>
        <color indexed="11"/>
      </top>
      <bottom style="thin">
        <color indexed="9"/>
      </bottom>
    </border>
    <border>
      <left>
        <color indexed="11"/>
      </left>
      <right>
        <color indexed="11"/>
      </right>
      <top style="thin">
        <color indexed="9"/>
      </top>
      <bottom>
        <color indexed="11"/>
      </bottom>
    </border>
    <border>
      <left>
        <color indexed="11"/>
      </left>
      <right>
        <color indexed="11"/>
      </right>
      <top>
        <color indexed="11"/>
      </top>
      <bottom style="medium">
        <color indexed="9"/>
      </bottom>
    </border>
    <border>
      <left>
        <color indexed="11"/>
      </left>
      <right>
        <color indexed="11"/>
      </right>
      <top style="medium">
        <color indexed="9"/>
      </top>
      <bottom>
        <color indexed="11"/>
      </bottom>
    </border>
    <border>
      <left>
        <color indexed="11"/>
      </left>
      <right style="thin">
        <color indexed="11"/>
      </right>
      <top>
        <color indexed="11"/>
      </top>
      <bottom style="medium">
        <color indexed="9"/>
      </bottom>
    </border>
    <border>
      <left>
        <color indexed="11"/>
      </left>
      <right style="thin">
        <color indexed="11"/>
      </right>
      <top style="medium">
        <color indexed="9"/>
      </top>
      <bottom>
        <color indexed="11"/>
      </bottom>
    </border>
    <border>
      <left>
        <color indexed="11"/>
      </left>
      <right style="thin">
        <color indexed="11"/>
      </right>
      <top>
        <color indexed="11"/>
      </top>
      <bottom style="thin">
        <color indexed="9"/>
      </bottom>
    </border>
    <border>
      <left>
        <color indexed="11"/>
      </left>
      <right style="thin">
        <color indexed="11"/>
      </right>
      <top style="thin">
        <color indexed="9"/>
      </top>
      <bottom>
        <color indexed="11"/>
      </bottom>
    </border>
    <border>
      <left>
        <color indexed="11"/>
      </left>
      <right>
        <color indexed="11"/>
      </right>
      <top style="medium">
        <color indexed="9"/>
      </top>
      <bottom style="thin">
        <color indexed="11"/>
      </bottom>
    </border>
    <border>
      <left>
        <color indexed="11"/>
      </left>
      <right style="thin">
        <color indexed="11"/>
      </right>
      <top style="medium">
        <color indexed="9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9"/>
      </bottom>
    </border>
    <border>
      <left style="thin">
        <color indexed="11"/>
      </left>
      <right>
        <color indexed="9"/>
      </right>
      <top style="thin">
        <color indexed="11"/>
      </top>
      <bottom style="thin">
        <color indexed="11"/>
      </bottom>
    </border>
    <border>
      <left>
        <color indexed="9"/>
      </left>
      <right>
        <color indexed="9"/>
      </right>
      <top>
        <color indexed="9"/>
      </top>
      <bottom style="medium">
        <color indexed="9"/>
      </bottom>
    </border>
    <border>
      <left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medium">
        <color indexed="9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9"/>
      </bottom>
    </border>
    <border>
      <left>
        <color indexed="9"/>
      </left>
      <right>
        <color indexed="9"/>
      </right>
      <top style="medium">
        <color indexed="9"/>
      </top>
      <bottom>
        <color indexed="9"/>
      </bottom>
    </border>
    <border>
      <left style="thin">
        <color indexed="11"/>
      </left>
      <right style="thin">
        <color indexed="11"/>
      </right>
      <top>
        <color indexed="9"/>
      </top>
      <bottom style="thin">
        <color indexed="11"/>
      </bottom>
    </border>
    <border>
      <left style="thin">
        <color indexed="11"/>
      </left>
      <right style="thin">
        <color indexed="11"/>
      </right>
      <top>
        <color indexed="9"/>
      </top>
      <bottom>
        <color indexed="9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ck">
        <color indexed="9"/>
      </bottom>
    </border>
    <border>
      <left>
        <color indexed="9"/>
      </left>
      <right>
        <color indexed="9"/>
      </right>
      <top style="thick">
        <color indexed="9"/>
      </top>
      <bottom>
        <color indexed="9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1" fillId="2" borderId="0" xfId="0" applyNumberFormat="1" applyFont="1" applyFill="1" applyBorder="1" applyAlignment="1">
      <alignment/>
    </xf>
    <xf numFmtId="0" fontId="1" fillId="2" borderId="1" xfId="0" applyNumberFormat="1" applyFont="1" applyFill="1" applyBorder="1" applyAlignment="1">
      <alignment/>
    </xf>
    <xf numFmtId="0" fontId="2" fillId="2" borderId="2" xfId="0" applyNumberFormat="1" applyFont="1" applyFill="1" applyBorder="1" applyAlignment="1">
      <alignment/>
    </xf>
    <xf numFmtId="0" fontId="1" fillId="2" borderId="2" xfId="0" applyNumberFormat="1" applyFont="1" applyFill="1" applyBorder="1" applyAlignment="1">
      <alignment/>
    </xf>
    <xf numFmtId="0" fontId="1" fillId="2" borderId="3" xfId="0" applyNumberFormat="1" applyFont="1" applyFill="1" applyBorder="1" applyAlignment="1">
      <alignment/>
    </xf>
    <xf numFmtId="0" fontId="1" fillId="2" borderId="4" xfId="0" applyNumberFormat="1" applyFont="1" applyFill="1" applyBorder="1" applyAlignment="1">
      <alignment/>
    </xf>
    <xf numFmtId="0" fontId="1" fillId="2" borderId="5" xfId="0" applyNumberFormat="1" applyFont="1" applyFill="1" applyBorder="1" applyAlignment="1">
      <alignment/>
    </xf>
    <xf numFmtId="0" fontId="3" fillId="2" borderId="0" xfId="0" applyNumberFormat="1" applyFont="1" applyFill="1" applyBorder="1" applyAlignment="1">
      <alignment/>
    </xf>
    <xf numFmtId="0" fontId="4" fillId="2" borderId="0" xfId="0" applyNumberFormat="1" applyFont="1" applyFill="1" applyBorder="1" applyAlignment="1">
      <alignment/>
    </xf>
    <xf numFmtId="0" fontId="1" fillId="2" borderId="0" xfId="0" applyNumberFormat="1" applyFont="1" applyFill="1" applyBorder="1" applyAlignment="1">
      <alignment horizontal="left" vertical="center" wrapText="1"/>
    </xf>
    <xf numFmtId="0" fontId="1" fillId="2" borderId="5" xfId="0" applyNumberFormat="1" applyFont="1" applyFill="1" applyBorder="1" applyAlignment="1">
      <alignment horizontal="left" vertical="center" wrapText="1"/>
    </xf>
    <xf numFmtId="0" fontId="1" fillId="2" borderId="6" xfId="0" applyNumberFormat="1" applyFont="1" applyFill="1" applyBorder="1" applyAlignment="1">
      <alignment/>
    </xf>
    <xf numFmtId="0" fontId="3" fillId="2" borderId="7" xfId="0" applyNumberFormat="1" applyFont="1" applyFill="1" applyBorder="1" applyAlignment="1">
      <alignment horizontal="left" vertical="center" wrapText="1"/>
    </xf>
    <xf numFmtId="0" fontId="3" fillId="2" borderId="8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Alignment="1">
      <alignment/>
    </xf>
    <xf numFmtId="0" fontId="5" fillId="2" borderId="2" xfId="0" applyNumberFormat="1" applyFont="1" applyFill="1" applyBorder="1" applyAlignment="1">
      <alignment horizontal="center" vertical="center" wrapText="1"/>
    </xf>
    <xf numFmtId="59" fontId="1" fillId="2" borderId="2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/>
    </xf>
    <xf numFmtId="1" fontId="1" fillId="2" borderId="0" xfId="0" applyNumberFormat="1" applyFont="1" applyFill="1" applyBorder="1" applyAlignment="1">
      <alignment horizontal="center"/>
    </xf>
    <xf numFmtId="59" fontId="1" fillId="2" borderId="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left"/>
    </xf>
    <xf numFmtId="0" fontId="3" fillId="2" borderId="4" xfId="0" applyNumberFormat="1" applyFont="1" applyFill="1" applyBorder="1" applyAlignment="1">
      <alignment horizontal="left"/>
    </xf>
    <xf numFmtId="0" fontId="3" fillId="3" borderId="0" xfId="0" applyNumberFormat="1" applyFont="1" applyFill="1" applyBorder="1" applyAlignment="1">
      <alignment horizontal="left"/>
    </xf>
    <xf numFmtId="1" fontId="3" fillId="3" borderId="0" xfId="0" applyNumberFormat="1" applyFont="1" applyFill="1" applyBorder="1" applyAlignment="1">
      <alignment horizontal="right" wrapText="1"/>
    </xf>
    <xf numFmtId="0" fontId="3" fillId="2" borderId="5" xfId="0" applyNumberFormat="1" applyFont="1" applyFill="1" applyBorder="1" applyAlignment="1">
      <alignment horizontal="left"/>
    </xf>
    <xf numFmtId="1" fontId="1" fillId="2" borderId="0" xfId="0" applyNumberFormat="1" applyFont="1" applyFill="1" applyBorder="1" applyAlignment="1">
      <alignment wrapText="1"/>
    </xf>
    <xf numFmtId="1" fontId="1" fillId="2" borderId="0" xfId="0" applyNumberFormat="1" applyFont="1" applyFill="1" applyBorder="1" applyAlignment="1">
      <alignment horizontal="right" wrapText="1"/>
    </xf>
    <xf numFmtId="1" fontId="1" fillId="2" borderId="0" xfId="0" applyNumberFormat="1" applyFont="1" applyFill="1" applyBorder="1" applyAlignment="1">
      <alignment horizontal="right"/>
    </xf>
    <xf numFmtId="0" fontId="3" fillId="2" borderId="9" xfId="0" applyNumberFormat="1" applyFont="1" applyFill="1" applyBorder="1" applyAlignment="1">
      <alignment/>
    </xf>
    <xf numFmtId="0" fontId="1" fillId="2" borderId="9" xfId="0" applyNumberFormat="1" applyFont="1" applyFill="1" applyBorder="1" applyAlignment="1">
      <alignment/>
    </xf>
    <xf numFmtId="1" fontId="1" fillId="2" borderId="9" xfId="0" applyNumberFormat="1" applyFont="1" applyFill="1" applyBorder="1" applyAlignment="1">
      <alignment wrapText="1"/>
    </xf>
    <xf numFmtId="1" fontId="1" fillId="2" borderId="9" xfId="0" applyNumberFormat="1" applyFont="1" applyFill="1" applyBorder="1" applyAlignment="1">
      <alignment horizontal="right" wrapText="1"/>
    </xf>
    <xf numFmtId="1" fontId="1" fillId="2" borderId="9" xfId="0" applyNumberFormat="1" applyFont="1" applyFill="1" applyBorder="1" applyAlignment="1">
      <alignment horizontal="right"/>
    </xf>
    <xf numFmtId="0" fontId="3" fillId="2" borderId="10" xfId="0" applyNumberFormat="1" applyFont="1" applyFill="1" applyBorder="1" applyAlignment="1">
      <alignment/>
    </xf>
    <xf numFmtId="1" fontId="3" fillId="2" borderId="10" xfId="0" applyNumberFormat="1" applyFont="1" applyFill="1" applyBorder="1" applyAlignment="1">
      <alignment wrapText="1"/>
    </xf>
    <xf numFmtId="1" fontId="3" fillId="2" borderId="0" xfId="0" applyNumberFormat="1" applyFont="1" applyFill="1" applyBorder="1" applyAlignment="1">
      <alignment wrapText="1"/>
    </xf>
    <xf numFmtId="0" fontId="3" fillId="2" borderId="0" xfId="0" applyNumberFormat="1" applyFont="1" applyFill="1" applyBorder="1" applyAlignment="1">
      <alignment wrapText="1"/>
    </xf>
    <xf numFmtId="59" fontId="1" fillId="2" borderId="5" xfId="0" applyNumberFormat="1" applyFont="1" applyFill="1" applyBorder="1" applyAlignment="1">
      <alignment/>
    </xf>
    <xf numFmtId="1" fontId="1" fillId="2" borderId="9" xfId="0" applyNumberFormat="1" applyFont="1" applyFill="1" applyBorder="1" applyAlignment="1">
      <alignment/>
    </xf>
    <xf numFmtId="0" fontId="3" fillId="2" borderId="4" xfId="0" applyNumberFormat="1" applyFont="1" applyFill="1" applyBorder="1" applyAlignment="1">
      <alignment/>
    </xf>
    <xf numFmtId="1" fontId="3" fillId="2" borderId="10" xfId="0" applyNumberFormat="1" applyFont="1" applyFill="1" applyBorder="1" applyAlignment="1">
      <alignment/>
    </xf>
    <xf numFmtId="59" fontId="3" fillId="2" borderId="5" xfId="0" applyNumberFormat="1" applyFont="1" applyFill="1" applyBorder="1" applyAlignment="1">
      <alignment/>
    </xf>
    <xf numFmtId="1" fontId="3" fillId="2" borderId="0" xfId="0" applyNumberFormat="1" applyFont="1" applyFill="1" applyBorder="1" applyAlignment="1">
      <alignment/>
    </xf>
    <xf numFmtId="1" fontId="3" fillId="2" borderId="9" xfId="0" applyNumberFormat="1" applyFont="1" applyFill="1" applyBorder="1" applyAlignment="1">
      <alignment/>
    </xf>
    <xf numFmtId="0" fontId="3" fillId="2" borderId="11" xfId="0" applyNumberFormat="1" applyFont="1" applyFill="1" applyBorder="1" applyAlignment="1">
      <alignment/>
    </xf>
    <xf numFmtId="0" fontId="1" fillId="2" borderId="11" xfId="0" applyNumberFormat="1" applyFont="1" applyFill="1" applyBorder="1" applyAlignment="1">
      <alignment/>
    </xf>
    <xf numFmtId="1" fontId="1" fillId="2" borderId="11" xfId="0" applyNumberFormat="1" applyFont="1" applyFill="1" applyBorder="1" applyAlignment="1">
      <alignment/>
    </xf>
    <xf numFmtId="0" fontId="3" fillId="4" borderId="12" xfId="0" applyNumberFormat="1" applyFont="1" applyFill="1" applyBorder="1" applyAlignment="1">
      <alignment horizontal="left" wrapText="1"/>
    </xf>
    <xf numFmtId="3" fontId="3" fillId="4" borderId="12" xfId="0" applyNumberFormat="1" applyFont="1" applyFill="1" applyBorder="1" applyAlignment="1">
      <alignment/>
    </xf>
    <xf numFmtId="0" fontId="3" fillId="2" borderId="0" xfId="0" applyNumberFormat="1" applyFont="1" applyFill="1" applyBorder="1" applyAlignment="1">
      <alignment horizontal="right"/>
    </xf>
    <xf numFmtId="59" fontId="1" fillId="2" borderId="0" xfId="0" applyNumberFormat="1" applyFont="1" applyFill="1" applyBorder="1" applyAlignment="1">
      <alignment horizontal="right"/>
    </xf>
    <xf numFmtId="0" fontId="1" fillId="2" borderId="7" xfId="0" applyNumberFormat="1" applyFont="1" applyFill="1" applyBorder="1" applyAlignment="1">
      <alignment/>
    </xf>
    <xf numFmtId="1" fontId="1" fillId="2" borderId="7" xfId="0" applyNumberFormat="1" applyFont="1" applyFill="1" applyBorder="1" applyAlignment="1">
      <alignment/>
    </xf>
    <xf numFmtId="1" fontId="1" fillId="2" borderId="7" xfId="0" applyNumberFormat="1" applyFont="1" applyFill="1" applyBorder="1" applyAlignment="1">
      <alignment horizontal="center"/>
    </xf>
    <xf numFmtId="59" fontId="1" fillId="2" borderId="7" xfId="0" applyNumberFormat="1" applyFont="1" applyFill="1" applyBorder="1" applyAlignment="1">
      <alignment horizontal="center"/>
    </xf>
    <xf numFmtId="60" fontId="1" fillId="2" borderId="7" xfId="0" applyNumberFormat="1" applyFont="1" applyFill="1" applyBorder="1" applyAlignment="1">
      <alignment horizontal="center"/>
    </xf>
    <xf numFmtId="0" fontId="1" fillId="2" borderId="8" xfId="0" applyNumberFormat="1" applyFont="1" applyFill="1" applyBorder="1" applyAlignment="1">
      <alignment/>
    </xf>
    <xf numFmtId="0" fontId="1" fillId="0" borderId="0" xfId="0" applyNumberFormat="1" applyFont="1" applyAlignment="1">
      <alignment/>
    </xf>
    <xf numFmtId="0" fontId="3" fillId="3" borderId="11" xfId="0" applyNumberFormat="1" applyFont="1" applyFill="1" applyBorder="1" applyAlignment="1">
      <alignment horizontal="left"/>
    </xf>
    <xf numFmtId="1" fontId="3" fillId="3" borderId="11" xfId="0" applyNumberFormat="1" applyFont="1" applyFill="1" applyBorder="1" applyAlignment="1">
      <alignment/>
    </xf>
    <xf numFmtId="1" fontId="3" fillId="3" borderId="13" xfId="0" applyNumberFormat="1" applyFont="1" applyFill="1" applyBorder="1" applyAlignment="1">
      <alignment horizontal="right" wrapText="1"/>
    </xf>
    <xf numFmtId="0" fontId="3" fillId="2" borderId="12" xfId="0" applyNumberFormat="1" applyFont="1" applyFill="1" applyBorder="1" applyAlignment="1">
      <alignment/>
    </xf>
    <xf numFmtId="0" fontId="1" fillId="2" borderId="12" xfId="0" applyNumberFormat="1" applyFont="1" applyFill="1" applyBorder="1" applyAlignment="1">
      <alignment/>
    </xf>
    <xf numFmtId="3" fontId="1" fillId="2" borderId="12" xfId="0" applyNumberFormat="1" applyFont="1" applyFill="1" applyBorder="1" applyAlignment="1">
      <alignment/>
    </xf>
    <xf numFmtId="9" fontId="1" fillId="2" borderId="14" xfId="0" applyNumberFormat="1" applyFont="1" applyFill="1" applyBorder="1" applyAlignment="1">
      <alignment/>
    </xf>
    <xf numFmtId="3" fontId="1" fillId="2" borderId="9" xfId="0" applyNumberFormat="1" applyFont="1" applyFill="1" applyBorder="1" applyAlignment="1">
      <alignment/>
    </xf>
    <xf numFmtId="9" fontId="1" fillId="2" borderId="5" xfId="0" applyNumberFormat="1" applyFont="1" applyFill="1" applyBorder="1" applyAlignment="1">
      <alignment/>
    </xf>
    <xf numFmtId="3" fontId="3" fillId="2" borderId="10" xfId="0" applyNumberFormat="1" applyFont="1" applyFill="1" applyBorder="1" applyAlignment="1">
      <alignment/>
    </xf>
    <xf numFmtId="9" fontId="3" fillId="2" borderId="5" xfId="0" applyNumberFormat="1" applyFon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/>
    </xf>
    <xf numFmtId="0" fontId="3" fillId="2" borderId="11" xfId="0" applyNumberFormat="1" applyFont="1" applyFill="1" applyBorder="1" applyAlignment="1">
      <alignment horizontal="right"/>
    </xf>
    <xf numFmtId="3" fontId="1" fillId="2" borderId="11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0" fontId="1" fillId="0" borderId="0" xfId="0" applyNumberFormat="1" applyFont="1" applyAlignment="1">
      <alignment/>
    </xf>
    <xf numFmtId="0" fontId="6" fillId="2" borderId="0" xfId="0" applyNumberFormat="1" applyFont="1" applyFill="1" applyBorder="1" applyAlignment="1">
      <alignment/>
    </xf>
    <xf numFmtId="1" fontId="3" fillId="3" borderId="13" xfId="0" applyNumberFormat="1" applyFont="1" applyFill="1" applyBorder="1" applyAlignment="1">
      <alignment/>
    </xf>
    <xf numFmtId="1" fontId="1" fillId="2" borderId="12" xfId="0" applyNumberFormat="1" applyFont="1" applyFill="1" applyBorder="1" applyAlignment="1">
      <alignment/>
    </xf>
    <xf numFmtId="1" fontId="1" fillId="2" borderId="14" xfId="0" applyNumberFormat="1" applyFont="1" applyFill="1" applyBorder="1" applyAlignment="1">
      <alignment/>
    </xf>
    <xf numFmtId="1" fontId="1" fillId="2" borderId="15" xfId="0" applyNumberFormat="1" applyFont="1" applyFill="1" applyBorder="1" applyAlignment="1">
      <alignment/>
    </xf>
    <xf numFmtId="1" fontId="3" fillId="2" borderId="16" xfId="0" applyNumberFormat="1" applyFont="1" applyFill="1" applyBorder="1" applyAlignment="1">
      <alignment/>
    </xf>
    <xf numFmtId="0" fontId="2" fillId="2" borderId="0" xfId="0" applyNumberFormat="1" applyFont="1" applyFill="1" applyBorder="1" applyAlignment="1">
      <alignment/>
    </xf>
    <xf numFmtId="1" fontId="1" fillId="2" borderId="5" xfId="0" applyNumberFormat="1" applyFont="1" applyFill="1" applyBorder="1" applyAlignment="1">
      <alignment/>
    </xf>
    <xf numFmtId="0" fontId="2" fillId="2" borderId="9" xfId="0" applyNumberFormat="1" applyFont="1" applyFill="1" applyBorder="1" applyAlignment="1">
      <alignment/>
    </xf>
    <xf numFmtId="0" fontId="1" fillId="2" borderId="15" xfId="0" applyNumberFormat="1" applyFont="1" applyFill="1" applyBorder="1" applyAlignment="1">
      <alignment/>
    </xf>
    <xf numFmtId="0" fontId="2" fillId="2" borderId="11" xfId="0" applyNumberFormat="1" applyFont="1" applyFill="1" applyBorder="1" applyAlignment="1">
      <alignment/>
    </xf>
    <xf numFmtId="1" fontId="3" fillId="2" borderId="11" xfId="0" applyNumberFormat="1" applyFont="1" applyFill="1" applyBorder="1" applyAlignment="1">
      <alignment/>
    </xf>
    <xf numFmtId="2" fontId="3" fillId="2" borderId="11" xfId="0" applyNumberFormat="1" applyFont="1" applyFill="1" applyBorder="1" applyAlignment="1">
      <alignment/>
    </xf>
    <xf numFmtId="2" fontId="3" fillId="2" borderId="13" xfId="0" applyNumberFormat="1" applyFont="1" applyFill="1" applyBorder="1" applyAlignment="1">
      <alignment/>
    </xf>
    <xf numFmtId="0" fontId="3" fillId="4" borderId="17" xfId="0" applyNumberFormat="1" applyFont="1" applyFill="1" applyBorder="1" applyAlignment="1">
      <alignment horizontal="left" wrapText="1"/>
    </xf>
    <xf numFmtId="1" fontId="1" fillId="4" borderId="17" xfId="0" applyNumberFormat="1" applyFont="1" applyFill="1" applyBorder="1" applyAlignment="1">
      <alignment horizontal="right"/>
    </xf>
    <xf numFmtId="1" fontId="1" fillId="4" borderId="18" xfId="0" applyNumberFormat="1" applyFont="1" applyFill="1" applyBorder="1" applyAlignment="1">
      <alignment horizontal="right"/>
    </xf>
    <xf numFmtId="0" fontId="1" fillId="0" borderId="0" xfId="0" applyNumberFormat="1" applyFont="1" applyAlignment="1">
      <alignment/>
    </xf>
    <xf numFmtId="0" fontId="3" fillId="3" borderId="11" xfId="0" applyNumberFormat="1" applyFont="1" applyFill="1" applyBorder="1" applyAlignment="1">
      <alignment vertical="center"/>
    </xf>
    <xf numFmtId="1" fontId="3" fillId="3" borderId="11" xfId="0" applyNumberFormat="1" applyFont="1" applyFill="1" applyBorder="1" applyAlignment="1">
      <alignment horizontal="right" vertical="center" wrapText="1"/>
    </xf>
    <xf numFmtId="60" fontId="3" fillId="3" borderId="11" xfId="0" applyNumberFormat="1" applyFont="1" applyFill="1" applyBorder="1" applyAlignment="1">
      <alignment horizontal="right" vertical="center" wrapText="1"/>
    </xf>
    <xf numFmtId="60" fontId="3" fillId="2" borderId="5" xfId="0" applyNumberFormat="1" applyFont="1" applyFill="1" applyBorder="1" applyAlignment="1">
      <alignment horizontal="right" wrapText="1"/>
    </xf>
    <xf numFmtId="61" fontId="1" fillId="2" borderId="12" xfId="0" applyNumberFormat="1" applyFont="1" applyFill="1" applyBorder="1" applyAlignment="1">
      <alignment/>
    </xf>
    <xf numFmtId="9" fontId="1" fillId="2" borderId="12" xfId="0" applyNumberFormat="1" applyFont="1" applyFill="1" applyBorder="1" applyAlignment="1">
      <alignment/>
    </xf>
    <xf numFmtId="62" fontId="1" fillId="2" borderId="12" xfId="0" applyNumberFormat="1" applyFont="1" applyFill="1" applyBorder="1" applyAlignment="1">
      <alignment horizontal="right"/>
    </xf>
    <xf numFmtId="61" fontId="1" fillId="2" borderId="0" xfId="0" applyNumberFormat="1" applyFont="1" applyFill="1" applyBorder="1" applyAlignment="1">
      <alignment/>
    </xf>
    <xf numFmtId="9" fontId="1" fillId="2" borderId="0" xfId="0" applyNumberFormat="1" applyFont="1" applyFill="1" applyBorder="1" applyAlignment="1">
      <alignment/>
    </xf>
    <xf numFmtId="62" fontId="1" fillId="2" borderId="0" xfId="0" applyNumberFormat="1" applyFont="1" applyFill="1" applyBorder="1" applyAlignment="1">
      <alignment horizontal="right"/>
    </xf>
    <xf numFmtId="3" fontId="1" fillId="2" borderId="11" xfId="0" applyNumberFormat="1" applyFont="1" applyFill="1" applyBorder="1" applyAlignment="1">
      <alignment horizontal="right" wrapText="1"/>
    </xf>
    <xf numFmtId="62" fontId="1" fillId="2" borderId="11" xfId="0" applyNumberFormat="1" applyFont="1" applyFill="1" applyBorder="1" applyAlignment="1">
      <alignment horizontal="right"/>
    </xf>
    <xf numFmtId="0" fontId="3" fillId="4" borderId="12" xfId="0" applyNumberFormat="1" applyFont="1" applyFill="1" applyBorder="1" applyAlignment="1">
      <alignment horizontal="left"/>
    </xf>
    <xf numFmtId="3" fontId="3" fillId="4" borderId="12" xfId="0" applyNumberFormat="1" applyFont="1" applyFill="1" applyBorder="1" applyAlignment="1">
      <alignment horizontal="right" wrapText="1"/>
    </xf>
    <xf numFmtId="9" fontId="3" fillId="4" borderId="12" xfId="0" applyNumberFormat="1" applyFont="1" applyFill="1" applyBorder="1" applyAlignment="1">
      <alignment horizontal="right" wrapText="1"/>
    </xf>
    <xf numFmtId="62" fontId="3" fillId="4" borderId="12" xfId="0" applyNumberFormat="1" applyFont="1" applyFill="1" applyBorder="1" applyAlignment="1">
      <alignment horizontal="right"/>
    </xf>
    <xf numFmtId="60" fontId="1" fillId="2" borderId="0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/>
    </xf>
    <xf numFmtId="0" fontId="1" fillId="2" borderId="19" xfId="0" applyNumberFormat="1" applyFont="1" applyFill="1" applyBorder="1" applyAlignment="1">
      <alignment/>
    </xf>
    <xf numFmtId="0" fontId="5" fillId="2" borderId="19" xfId="0" applyNumberFormat="1" applyFont="1" applyFill="1" applyBorder="1" applyAlignment="1">
      <alignment horizontal="center" vertical="center" wrapText="1"/>
    </xf>
    <xf numFmtId="1" fontId="3" fillId="2" borderId="20" xfId="0" applyNumberFormat="1" applyFont="1" applyFill="1" applyBorder="1" applyAlignment="1">
      <alignment horizontal="right" wrapText="1"/>
    </xf>
    <xf numFmtId="0" fontId="1" fillId="2" borderId="20" xfId="0" applyNumberFormat="1" applyFont="1" applyFill="1" applyBorder="1" applyAlignment="1">
      <alignment horizontal="center" wrapText="1"/>
    </xf>
    <xf numFmtId="59" fontId="1" fillId="2" borderId="20" xfId="0" applyNumberFormat="1" applyFont="1" applyFill="1" applyBorder="1" applyAlignment="1">
      <alignment horizontal="center" wrapText="1"/>
    </xf>
    <xf numFmtId="0" fontId="1" fillId="2" borderId="20" xfId="0" applyNumberFormat="1" applyFont="1" applyFill="1" applyBorder="1" applyAlignment="1">
      <alignment/>
    </xf>
    <xf numFmtId="0" fontId="1" fillId="2" borderId="21" xfId="0" applyNumberFormat="1" applyFont="1" applyFill="1" applyBorder="1" applyAlignment="1">
      <alignment/>
    </xf>
    <xf numFmtId="0" fontId="3" fillId="3" borderId="22" xfId="0" applyNumberFormat="1" applyFont="1" applyFill="1" applyBorder="1" applyAlignment="1">
      <alignment horizontal="left"/>
    </xf>
    <xf numFmtId="1" fontId="3" fillId="3" borderId="22" xfId="0" applyNumberFormat="1" applyFont="1" applyFill="1" applyBorder="1" applyAlignment="1">
      <alignment/>
    </xf>
    <xf numFmtId="1" fontId="3" fillId="3" borderId="22" xfId="0" applyNumberFormat="1" applyFont="1" applyFill="1" applyBorder="1" applyAlignment="1">
      <alignment horizontal="right" wrapText="1"/>
    </xf>
    <xf numFmtId="0" fontId="1" fillId="2" borderId="23" xfId="0" applyNumberFormat="1" applyFont="1" applyFill="1" applyBorder="1" applyAlignment="1">
      <alignment/>
    </xf>
    <xf numFmtId="0" fontId="3" fillId="2" borderId="24" xfId="0" applyNumberFormat="1" applyFont="1" applyFill="1" applyBorder="1" applyAlignment="1">
      <alignment/>
    </xf>
    <xf numFmtId="0" fontId="1" fillId="2" borderId="24" xfId="0" applyNumberFormat="1" applyFont="1" applyFill="1" applyBorder="1" applyAlignment="1">
      <alignment/>
    </xf>
    <xf numFmtId="3" fontId="1" fillId="2" borderId="24" xfId="0" applyNumberFormat="1" applyFont="1" applyFill="1" applyBorder="1" applyAlignment="1">
      <alignment/>
    </xf>
    <xf numFmtId="9" fontId="1" fillId="2" borderId="24" xfId="0" applyNumberFormat="1" applyFont="1" applyFill="1" applyBorder="1" applyAlignment="1">
      <alignment/>
    </xf>
    <xf numFmtId="0" fontId="3" fillId="2" borderId="25" xfId="0" applyNumberFormat="1" applyFont="1" applyFill="1" applyBorder="1" applyAlignment="1">
      <alignment/>
    </xf>
    <xf numFmtId="0" fontId="1" fillId="2" borderId="25" xfId="0" applyNumberFormat="1" applyFont="1" applyFill="1" applyBorder="1" applyAlignment="1">
      <alignment/>
    </xf>
    <xf numFmtId="3" fontId="1" fillId="2" borderId="25" xfId="0" applyNumberFormat="1" applyFont="1" applyFill="1" applyBorder="1" applyAlignment="1">
      <alignment/>
    </xf>
    <xf numFmtId="9" fontId="1" fillId="2" borderId="25" xfId="0" applyNumberFormat="1" applyFont="1" applyFill="1" applyBorder="1" applyAlignment="1">
      <alignment/>
    </xf>
    <xf numFmtId="0" fontId="3" fillId="2" borderId="26" xfId="0" applyNumberFormat="1" applyFont="1" applyFill="1" applyBorder="1" applyAlignment="1">
      <alignment/>
    </xf>
    <xf numFmtId="3" fontId="3" fillId="2" borderId="26" xfId="0" applyNumberFormat="1" applyFont="1" applyFill="1" applyBorder="1" applyAlignment="1">
      <alignment/>
    </xf>
    <xf numFmtId="9" fontId="1" fillId="2" borderId="26" xfId="0" applyNumberFormat="1" applyFont="1" applyFill="1" applyBorder="1" applyAlignment="1">
      <alignment/>
    </xf>
    <xf numFmtId="0" fontId="3" fillId="2" borderId="19" xfId="0" applyNumberFormat="1" applyFont="1" applyFill="1" applyBorder="1" applyAlignment="1">
      <alignment/>
    </xf>
    <xf numFmtId="3" fontId="3" fillId="2" borderId="19" xfId="0" applyNumberFormat="1" applyFont="1" applyFill="1" applyBorder="1" applyAlignment="1">
      <alignment/>
    </xf>
    <xf numFmtId="9" fontId="1" fillId="2" borderId="19" xfId="0" applyNumberFormat="1" applyFont="1" applyFill="1" applyBorder="1" applyAlignment="1">
      <alignment/>
    </xf>
    <xf numFmtId="0" fontId="3" fillId="2" borderId="19" xfId="0" applyNumberFormat="1" applyFont="1" applyFill="1" applyBorder="1" applyAlignment="1">
      <alignment wrapText="1"/>
    </xf>
    <xf numFmtId="3" fontId="1" fillId="2" borderId="19" xfId="0" applyNumberFormat="1" applyFont="1" applyFill="1" applyBorder="1" applyAlignment="1">
      <alignment/>
    </xf>
    <xf numFmtId="3" fontId="1" fillId="2" borderId="19" xfId="0" applyNumberFormat="1" applyFont="1" applyFill="1" applyBorder="1" applyAlignment="1">
      <alignment horizontal="center"/>
    </xf>
    <xf numFmtId="3" fontId="3" fillId="2" borderId="25" xfId="0" applyNumberFormat="1" applyFont="1" applyFill="1" applyBorder="1" applyAlignment="1">
      <alignment/>
    </xf>
    <xf numFmtId="0" fontId="3" fillId="2" borderId="27" xfId="0" applyNumberFormat="1" applyFont="1" applyFill="1" applyBorder="1" applyAlignment="1">
      <alignment/>
    </xf>
    <xf numFmtId="0" fontId="3" fillId="2" borderId="27" xfId="0" applyNumberFormat="1" applyFont="1" applyFill="1" applyBorder="1" applyAlignment="1">
      <alignment horizontal="right"/>
    </xf>
    <xf numFmtId="3" fontId="1" fillId="2" borderId="27" xfId="0" applyNumberFormat="1" applyFont="1" applyFill="1" applyBorder="1" applyAlignment="1">
      <alignment/>
    </xf>
    <xf numFmtId="0" fontId="3" fillId="4" borderId="28" xfId="0" applyNumberFormat="1" applyFont="1" applyFill="1" applyBorder="1" applyAlignment="1">
      <alignment horizontal="left" wrapText="1"/>
    </xf>
    <xf numFmtId="3" fontId="3" fillId="4" borderId="28" xfId="0" applyNumberFormat="1" applyFont="1" applyFill="1" applyBorder="1" applyAlignment="1">
      <alignment/>
    </xf>
    <xf numFmtId="9" fontId="1" fillId="2" borderId="23" xfId="0" applyNumberFormat="1" applyFont="1" applyFill="1" applyBorder="1" applyAlignment="1">
      <alignment/>
    </xf>
    <xf numFmtId="0" fontId="3" fillId="2" borderId="29" xfId="0" applyNumberFormat="1" applyFont="1" applyFill="1" applyBorder="1" applyAlignment="1">
      <alignment/>
    </xf>
    <xf numFmtId="0" fontId="3" fillId="2" borderId="29" xfId="0" applyNumberFormat="1" applyFont="1" applyFill="1" applyBorder="1" applyAlignment="1">
      <alignment wrapText="1"/>
    </xf>
    <xf numFmtId="1" fontId="3" fillId="2" borderId="29" xfId="0" applyNumberFormat="1" applyFont="1" applyFill="1" applyBorder="1" applyAlignment="1">
      <alignment/>
    </xf>
    <xf numFmtId="0" fontId="1" fillId="2" borderId="29" xfId="0" applyNumberFormat="1" applyFont="1" applyFill="1" applyBorder="1" applyAlignment="1">
      <alignment/>
    </xf>
    <xf numFmtId="1" fontId="1" fillId="2" borderId="19" xfId="0" applyNumberFormat="1" applyFont="1" applyFill="1" applyBorder="1" applyAlignment="1">
      <alignment horizontal="center"/>
    </xf>
    <xf numFmtId="59" fontId="1" fillId="2" borderId="19" xfId="0" applyNumberFormat="1" applyFont="1" applyFill="1" applyBorder="1" applyAlignment="1">
      <alignment horizontal="center"/>
    </xf>
    <xf numFmtId="0" fontId="1" fillId="2" borderId="19" xfId="0" applyNumberFormat="1" applyFont="1" applyFill="1" applyBorder="1" applyAlignment="1">
      <alignment vertical="top"/>
    </xf>
    <xf numFmtId="0" fontId="1" fillId="2" borderId="19" xfId="0" applyNumberFormat="1" applyFont="1" applyFill="1" applyBorder="1" applyAlignment="1">
      <alignment horizontal="left" vertical="top" wrapText="1"/>
    </xf>
    <xf numFmtId="0" fontId="1" fillId="2" borderId="19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Alignment="1">
      <alignment/>
    </xf>
    <xf numFmtId="0" fontId="3" fillId="2" borderId="1" xfId="0" applyNumberFormat="1" applyFont="1" applyFill="1" applyBorder="1" applyAlignment="1">
      <alignment/>
    </xf>
    <xf numFmtId="0" fontId="6" fillId="2" borderId="4" xfId="0" applyNumberFormat="1" applyFont="1" applyFill="1" applyBorder="1" applyAlignment="1">
      <alignment/>
    </xf>
    <xf numFmtId="3" fontId="1" fillId="2" borderId="12" xfId="0" applyNumberFormat="1" applyFont="1" applyFill="1" applyBorder="1" applyAlignment="1">
      <alignment horizontal="right" wrapText="1"/>
    </xf>
    <xf numFmtId="3" fontId="1" fillId="2" borderId="0" xfId="0" applyNumberFormat="1" applyFont="1" applyFill="1" applyBorder="1" applyAlignment="1">
      <alignment horizontal="right" wrapText="1"/>
    </xf>
    <xf numFmtId="0" fontId="1" fillId="2" borderId="0" xfId="0" applyNumberFormat="1" applyFont="1" applyFill="1" applyBorder="1" applyAlignment="1">
      <alignment wrapText="1"/>
    </xf>
    <xf numFmtId="3" fontId="1" fillId="2" borderId="5" xfId="0" applyNumberFormat="1" applyFont="1" applyFill="1" applyBorder="1" applyAlignment="1">
      <alignment/>
    </xf>
    <xf numFmtId="0" fontId="1" fillId="2" borderId="11" xfId="0" applyNumberFormat="1" applyFont="1" applyFill="1" applyBorder="1" applyAlignment="1">
      <alignment horizontal="right"/>
    </xf>
    <xf numFmtId="62" fontId="1" fillId="2" borderId="11" xfId="0" applyNumberFormat="1" applyFont="1" applyFill="1" applyBorder="1" applyAlignment="1">
      <alignment horizontal="center" wrapText="1"/>
    </xf>
    <xf numFmtId="63" fontId="3" fillId="4" borderId="12" xfId="0" applyNumberFormat="1" applyFont="1" applyFill="1" applyBorder="1" applyAlignment="1">
      <alignment horizontal="right" wrapText="1"/>
    </xf>
    <xf numFmtId="1" fontId="1" fillId="2" borderId="7" xfId="0" applyNumberFormat="1" applyFont="1" applyFill="1" applyBorder="1" applyAlignment="1">
      <alignment horizontal="left"/>
    </xf>
    <xf numFmtId="0" fontId="1" fillId="0" borderId="0" xfId="0" applyNumberFormat="1" applyFont="1" applyAlignment="1">
      <alignment/>
    </xf>
    <xf numFmtId="0" fontId="5" fillId="2" borderId="20" xfId="0" applyNumberFormat="1" applyFont="1" applyFill="1" applyBorder="1" applyAlignment="1">
      <alignment horizontal="center" vertical="center" wrapText="1"/>
    </xf>
    <xf numFmtId="0" fontId="1" fillId="3" borderId="0" xfId="0" applyNumberFormat="1" applyFont="1" applyFill="1" applyBorder="1" applyAlignment="1">
      <alignment vertical="center"/>
    </xf>
    <xf numFmtId="1" fontId="3" fillId="3" borderId="0" xfId="0" applyNumberFormat="1" applyFont="1" applyFill="1" applyBorder="1" applyAlignment="1">
      <alignment/>
    </xf>
    <xf numFmtId="1" fontId="3" fillId="3" borderId="0" xfId="0" applyNumberFormat="1" applyFont="1" applyFill="1" applyBorder="1" applyAlignment="1">
      <alignment horizontal="center"/>
    </xf>
    <xf numFmtId="60" fontId="3" fillId="3" borderId="0" xfId="0" applyNumberFormat="1" applyFont="1" applyFill="1" applyBorder="1" applyAlignment="1">
      <alignment horizontal="center" wrapText="1"/>
    </xf>
    <xf numFmtId="60" fontId="1" fillId="2" borderId="29" xfId="0" applyNumberFormat="1" applyFont="1" applyFill="1" applyBorder="1" applyAlignment="1">
      <alignment horizontal="center" wrapText="1"/>
    </xf>
    <xf numFmtId="0" fontId="1" fillId="2" borderId="19" xfId="0" applyNumberFormat="1" applyFont="1" applyFill="1" applyBorder="1" applyAlignment="1">
      <alignment horizontal="right"/>
    </xf>
    <xf numFmtId="0" fontId="3" fillId="2" borderId="19" xfId="0" applyNumberFormat="1" applyFont="1" applyFill="1" applyBorder="1" applyAlignment="1">
      <alignment horizontal="left"/>
    </xf>
    <xf numFmtId="1" fontId="1" fillId="2" borderId="19" xfId="0" applyNumberFormat="1" applyFont="1" applyFill="1" applyBorder="1" applyAlignment="1">
      <alignment/>
    </xf>
    <xf numFmtId="0" fontId="1" fillId="0" borderId="0" xfId="0" applyNumberFormat="1" applyFont="1" applyAlignment="1">
      <alignment/>
    </xf>
    <xf numFmtId="0" fontId="5" fillId="2" borderId="19" xfId="0" applyNumberFormat="1" applyFont="1" applyFill="1" applyBorder="1" applyAlignment="1">
      <alignment/>
    </xf>
    <xf numFmtId="1" fontId="3" fillId="3" borderId="22" xfId="0" applyNumberFormat="1" applyFont="1" applyFill="1" applyBorder="1" applyAlignment="1">
      <alignment horizontal="right" vertical="center" wrapText="1"/>
    </xf>
    <xf numFmtId="3" fontId="1" fillId="2" borderId="19" xfId="0" applyNumberFormat="1" applyFont="1" applyFill="1" applyBorder="1" applyAlignment="1">
      <alignment horizontal="right"/>
    </xf>
    <xf numFmtId="1" fontId="1" fillId="2" borderId="19" xfId="0" applyNumberFormat="1" applyFont="1" applyFill="1" applyBorder="1" applyAlignment="1">
      <alignment horizontal="right"/>
    </xf>
    <xf numFmtId="9" fontId="3" fillId="2" borderId="19" xfId="0" applyNumberFormat="1" applyFont="1" applyFill="1" applyBorder="1" applyAlignment="1">
      <alignment horizontal="right"/>
    </xf>
    <xf numFmtId="0" fontId="1" fillId="0" borderId="0" xfId="0" applyNumberFormat="1" applyFont="1" applyAlignment="1">
      <alignment/>
    </xf>
    <xf numFmtId="2" fontId="3" fillId="2" borderId="0" xfId="0" applyNumberFormat="1" applyFont="1" applyFill="1" applyBorder="1" applyAlignment="1">
      <alignment/>
    </xf>
    <xf numFmtId="60" fontId="3" fillId="2" borderId="0" xfId="0" applyNumberFormat="1" applyFont="1" applyFill="1" applyBorder="1" applyAlignment="1">
      <alignment horizontal="center"/>
    </xf>
    <xf numFmtId="0" fontId="3" fillId="3" borderId="11" xfId="0" applyNumberFormat="1" applyFont="1" applyFill="1" applyBorder="1" applyAlignment="1">
      <alignment horizontal="left" vertical="center"/>
    </xf>
    <xf numFmtId="1" fontId="3" fillId="3" borderId="11" xfId="0" applyNumberFormat="1" applyFont="1" applyFill="1" applyBorder="1" applyAlignment="1">
      <alignment vertical="center"/>
    </xf>
    <xf numFmtId="60" fontId="3" fillId="3" borderId="11" xfId="0" applyNumberFormat="1" applyFont="1" applyFill="1" applyBorder="1" applyAlignment="1">
      <alignment horizontal="center" vertical="center" wrapText="1"/>
    </xf>
    <xf numFmtId="59" fontId="1" fillId="2" borderId="12" xfId="0" applyNumberFormat="1" applyFont="1" applyFill="1" applyBorder="1" applyAlignment="1">
      <alignment horizontal="right"/>
    </xf>
    <xf numFmtId="9" fontId="1" fillId="2" borderId="12" xfId="0" applyNumberFormat="1" applyFont="1" applyFill="1" applyBorder="1" applyAlignment="1">
      <alignment horizontal="right"/>
    </xf>
    <xf numFmtId="59" fontId="1" fillId="2" borderId="5" xfId="0" applyNumberFormat="1" applyFont="1" applyFill="1" applyBorder="1" applyAlignment="1">
      <alignment horizontal="right"/>
    </xf>
    <xf numFmtId="59" fontId="1" fillId="2" borderId="9" xfId="0" applyNumberFormat="1" applyFont="1" applyFill="1" applyBorder="1" applyAlignment="1">
      <alignment horizontal="right"/>
    </xf>
    <xf numFmtId="9" fontId="1" fillId="2" borderId="9" xfId="0" applyNumberFormat="1" applyFont="1" applyFill="1" applyBorder="1" applyAlignment="1">
      <alignment horizontal="right"/>
    </xf>
    <xf numFmtId="59" fontId="3" fillId="2" borderId="10" xfId="0" applyNumberFormat="1" applyFont="1" applyFill="1" applyBorder="1" applyAlignment="1">
      <alignment/>
    </xf>
    <xf numFmtId="9" fontId="1" fillId="2" borderId="10" xfId="0" applyNumberFormat="1" applyFont="1" applyFill="1" applyBorder="1" applyAlignment="1">
      <alignment horizontal="right"/>
    </xf>
    <xf numFmtId="59" fontId="3" fillId="2" borderId="0" xfId="0" applyNumberFormat="1" applyFont="1" applyFill="1" applyBorder="1" applyAlignment="1">
      <alignment/>
    </xf>
    <xf numFmtId="9" fontId="1" fillId="2" borderId="0" xfId="0" applyNumberFormat="1" applyFont="1" applyFill="1" applyBorder="1" applyAlignment="1">
      <alignment horizontal="right"/>
    </xf>
    <xf numFmtId="59" fontId="1" fillId="2" borderId="0" xfId="0" applyNumberFormat="1" applyFont="1" applyFill="1" applyBorder="1" applyAlignment="1">
      <alignment/>
    </xf>
    <xf numFmtId="59" fontId="1" fillId="2" borderId="9" xfId="0" applyNumberFormat="1" applyFont="1" applyFill="1" applyBorder="1" applyAlignment="1">
      <alignment/>
    </xf>
    <xf numFmtId="59" fontId="1" fillId="2" borderId="9" xfId="0" applyNumberFormat="1" applyFont="1" applyFill="1" applyBorder="1" applyAlignment="1">
      <alignment horizontal="center"/>
    </xf>
    <xf numFmtId="59" fontId="3" fillId="2" borderId="9" xfId="0" applyNumberFormat="1" applyFont="1" applyFill="1" applyBorder="1" applyAlignment="1">
      <alignment/>
    </xf>
    <xf numFmtId="59" fontId="1" fillId="2" borderId="11" xfId="0" applyNumberFormat="1" applyFont="1" applyFill="1" applyBorder="1" applyAlignment="1">
      <alignment/>
    </xf>
    <xf numFmtId="9" fontId="1" fillId="2" borderId="11" xfId="0" applyNumberFormat="1" applyFont="1" applyFill="1" applyBorder="1" applyAlignment="1">
      <alignment horizontal="right"/>
    </xf>
    <xf numFmtId="59" fontId="3" fillId="4" borderId="12" xfId="0" applyNumberFormat="1" applyFont="1" applyFill="1" applyBorder="1" applyAlignment="1">
      <alignment/>
    </xf>
    <xf numFmtId="1" fontId="1" fillId="2" borderId="7" xfId="0" applyNumberFormat="1" applyFont="1" applyFill="1" applyBorder="1" applyAlignment="1">
      <alignment horizontal="right"/>
    </xf>
    <xf numFmtId="0" fontId="1" fillId="0" borderId="0" xfId="0" applyNumberFormat="1" applyFont="1" applyAlignment="1">
      <alignment/>
    </xf>
    <xf numFmtId="0" fontId="5" fillId="2" borderId="19" xfId="0" applyNumberFormat="1" applyFont="1" applyFill="1" applyBorder="1" applyAlignment="1">
      <alignment horizontal="center"/>
    </xf>
    <xf numFmtId="9" fontId="5" fillId="2" borderId="19" xfId="0" applyNumberFormat="1" applyFont="1" applyFill="1" applyBorder="1" applyAlignment="1">
      <alignment horizontal="center" wrapText="1"/>
    </xf>
    <xf numFmtId="3" fontId="1" fillId="2" borderId="20" xfId="0" applyNumberFormat="1" applyFont="1" applyFill="1" applyBorder="1" applyAlignment="1">
      <alignment/>
    </xf>
    <xf numFmtId="0" fontId="1" fillId="5" borderId="0" xfId="0" applyNumberFormat="1" applyFont="1" applyFill="1" applyBorder="1" applyAlignment="1">
      <alignment horizontal="right"/>
    </xf>
    <xf numFmtId="3" fontId="3" fillId="5" borderId="0" xfId="0" applyNumberFormat="1" applyFont="1" applyFill="1" applyBorder="1" applyAlignment="1">
      <alignment/>
    </xf>
    <xf numFmtId="9" fontId="3" fillId="5" borderId="0" xfId="0" applyNumberFormat="1" applyFont="1" applyFill="1" applyBorder="1" applyAlignment="1">
      <alignment/>
    </xf>
    <xf numFmtId="3" fontId="1" fillId="2" borderId="29" xfId="0" applyNumberFormat="1" applyFont="1" applyFill="1" applyBorder="1" applyAlignment="1">
      <alignment/>
    </xf>
    <xf numFmtId="0" fontId="1" fillId="0" borderId="0" xfId="0" applyNumberFormat="1" applyFont="1" applyAlignment="1">
      <alignment/>
    </xf>
    <xf numFmtId="0" fontId="7" fillId="2" borderId="19" xfId="0" applyNumberFormat="1" applyFont="1" applyFill="1" applyBorder="1" applyAlignment="1">
      <alignment/>
    </xf>
    <xf numFmtId="0" fontId="8" fillId="2" borderId="19" xfId="0" applyNumberFormat="1" applyFont="1" applyFill="1" applyBorder="1" applyAlignment="1">
      <alignment/>
    </xf>
    <xf numFmtId="0" fontId="5" fillId="2" borderId="20" xfId="0" applyNumberFormat="1" applyFont="1" applyFill="1" applyBorder="1" applyAlignment="1">
      <alignment/>
    </xf>
    <xf numFmtId="0" fontId="5" fillId="5" borderId="0" xfId="0" applyNumberFormat="1" applyFont="1" applyFill="1" applyBorder="1" applyAlignment="1">
      <alignment/>
    </xf>
    <xf numFmtId="0" fontId="1" fillId="5" borderId="0" xfId="0" applyNumberFormat="1" applyFont="1" applyFill="1" applyBorder="1" applyAlignment="1">
      <alignment/>
    </xf>
    <xf numFmtId="0" fontId="5" fillId="2" borderId="29" xfId="0" applyNumberFormat="1" applyFont="1" applyFill="1" applyBorder="1" applyAlignment="1">
      <alignment/>
    </xf>
    <xf numFmtId="0" fontId="1" fillId="2" borderId="29" xfId="0" applyNumberFormat="1" applyFont="1" applyFill="1" applyBorder="1" applyAlignment="1">
      <alignment wrapText="1"/>
    </xf>
    <xf numFmtId="0" fontId="8" fillId="2" borderId="20" xfId="0" applyNumberFormat="1" applyFont="1" applyFill="1" applyBorder="1" applyAlignment="1">
      <alignment/>
    </xf>
    <xf numFmtId="0" fontId="5" fillId="6" borderId="0" xfId="0" applyNumberFormat="1" applyFont="1" applyFill="1" applyBorder="1" applyAlignment="1">
      <alignment/>
    </xf>
    <xf numFmtId="0" fontId="1" fillId="6" borderId="0" xfId="0" applyNumberFormat="1" applyFont="1" applyFill="1" applyBorder="1" applyAlignment="1">
      <alignment/>
    </xf>
    <xf numFmtId="3" fontId="1" fillId="6" borderId="0" xfId="0" applyNumberFormat="1" applyFont="1" applyFill="1" applyBorder="1" applyAlignment="1">
      <alignment/>
    </xf>
    <xf numFmtId="0" fontId="8" fillId="2" borderId="30" xfId="0" applyNumberFormat="1" applyFont="1" applyFill="1" applyBorder="1" applyAlignment="1">
      <alignment/>
    </xf>
    <xf numFmtId="0" fontId="1" fillId="2" borderId="30" xfId="0" applyNumberFormat="1" applyFont="1" applyFill="1" applyBorder="1" applyAlignment="1">
      <alignment/>
    </xf>
    <xf numFmtId="3" fontId="1" fillId="2" borderId="30" xfId="0" applyNumberFormat="1" applyFont="1" applyFill="1" applyBorder="1" applyAlignment="1">
      <alignment/>
    </xf>
    <xf numFmtId="9" fontId="1" fillId="6" borderId="0" xfId="0" applyNumberFormat="1" applyFont="1" applyFill="1" applyBorder="1" applyAlignment="1">
      <alignment/>
    </xf>
    <xf numFmtId="0" fontId="5" fillId="2" borderId="30" xfId="0" applyNumberFormat="1" applyFont="1" applyFill="1" applyBorder="1" applyAlignment="1">
      <alignment/>
    </xf>
    <xf numFmtId="0" fontId="5" fillId="6" borderId="22" xfId="0" applyNumberFormat="1" applyFont="1" applyFill="1" applyBorder="1" applyAlignment="1">
      <alignment wrapText="1"/>
    </xf>
    <xf numFmtId="0" fontId="3" fillId="6" borderId="22" xfId="0" applyNumberFormat="1" applyFont="1" applyFill="1" applyBorder="1" applyAlignment="1">
      <alignment horizontal="left"/>
    </xf>
    <xf numFmtId="60" fontId="1" fillId="2" borderId="24" xfId="0" applyNumberFormat="1" applyFont="1" applyFill="1" applyBorder="1" applyAlignment="1">
      <alignment/>
    </xf>
    <xf numFmtId="60" fontId="1" fillId="2" borderId="19" xfId="0" applyNumberFormat="1" applyFont="1" applyFill="1" applyBorder="1" applyAlignment="1">
      <alignment/>
    </xf>
    <xf numFmtId="0" fontId="1" fillId="2" borderId="31" xfId="0" applyNumberFormat="1" applyFont="1" applyFill="1" applyBorder="1" applyAlignment="1">
      <alignment/>
    </xf>
    <xf numFmtId="3" fontId="1" fillId="2" borderId="31" xfId="0" applyNumberFormat="1" applyFont="1" applyFill="1" applyBorder="1" applyAlignment="1">
      <alignment/>
    </xf>
    <xf numFmtId="0" fontId="1" fillId="6" borderId="32" xfId="0" applyNumberFormat="1" applyFont="1" applyFill="1" applyBorder="1" applyAlignment="1">
      <alignment/>
    </xf>
    <xf numFmtId="3" fontId="1" fillId="6" borderId="32" xfId="0" applyNumberFormat="1" applyFont="1" applyFill="1" applyBorder="1" applyAlignment="1">
      <alignment/>
    </xf>
    <xf numFmtId="60" fontId="1" fillId="2" borderId="23" xfId="0" applyNumberFormat="1" applyFont="1" applyFill="1" applyBorder="1" applyAlignment="1">
      <alignment/>
    </xf>
    <xf numFmtId="0" fontId="1" fillId="6" borderId="0" xfId="0" applyNumberFormat="1" applyFont="1" applyFill="1" applyBorder="1" applyAlignment="1">
      <alignment horizontal="right"/>
    </xf>
    <xf numFmtId="3" fontId="3" fillId="6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0000D4"/>
      <rgbColor rgb="00969696"/>
      <rgbColor rgb="00FF9900"/>
      <rgbColor rgb="00FFCC00"/>
      <rgbColor rgb="00C0C0C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1.390625" style="1" customWidth="1"/>
    <col min="2" max="2" width="16.3984375" style="1" customWidth="1"/>
    <col min="3" max="16" width="7.59765625" style="1" customWidth="1"/>
    <col min="17" max="256" width="10.296875" style="1" customWidth="1"/>
  </cols>
  <sheetData>
    <row r="1" spans="1:16" ht="15.75">
      <c r="A1" s="3"/>
      <c r="B1" s="4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6"/>
    </row>
    <row r="2" spans="1:16" ht="12.75">
      <c r="A2" s="7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8"/>
    </row>
    <row r="3" spans="1:16" ht="12.75">
      <c r="A3" s="7"/>
      <c r="B3" s="9" t="s">
        <v>1</v>
      </c>
      <c r="C3" s="9" t="s">
        <v>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8"/>
    </row>
    <row r="4" spans="1:16" ht="12.75">
      <c r="A4" s="7"/>
      <c r="B4" s="10" t="s">
        <v>3</v>
      </c>
      <c r="C4" s="2" t="s">
        <v>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8"/>
    </row>
    <row r="5" spans="1:16" ht="12.75">
      <c r="A5" s="7"/>
      <c r="B5" s="10" t="s">
        <v>5</v>
      </c>
      <c r="C5" s="2" t="s">
        <v>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8"/>
    </row>
    <row r="6" spans="1:16" ht="12.75">
      <c r="A6" s="7"/>
      <c r="B6" s="10" t="s">
        <v>7</v>
      </c>
      <c r="C6" s="2" t="s">
        <v>8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8"/>
    </row>
    <row r="7" spans="1:16" ht="12.75">
      <c r="A7" s="7"/>
      <c r="B7" s="10" t="s">
        <v>9</v>
      </c>
      <c r="C7" s="2" t="s">
        <v>10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8"/>
    </row>
    <row r="8" spans="1:16" ht="12.75">
      <c r="A8" s="7"/>
      <c r="B8" s="10" t="s">
        <v>11</v>
      </c>
      <c r="C8" s="2" t="s">
        <v>12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8"/>
    </row>
    <row r="9" spans="1:16" ht="12.75">
      <c r="A9" s="7"/>
      <c r="B9" s="10" t="s">
        <v>13</v>
      </c>
      <c r="C9" s="2" t="s">
        <v>14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8"/>
    </row>
    <row r="10" spans="1:16" ht="12.75">
      <c r="A10" s="7"/>
      <c r="B10" s="10" t="s">
        <v>15</v>
      </c>
      <c r="C10" s="2" t="s">
        <v>16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8"/>
    </row>
    <row r="11" spans="1:16" ht="12.75">
      <c r="A11" s="7"/>
      <c r="B11" s="10" t="s">
        <v>17</v>
      </c>
      <c r="C11" s="2" t="s">
        <v>18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8"/>
    </row>
    <row r="12" spans="1:16" ht="12.75">
      <c r="A12" s="7"/>
      <c r="B12" s="10" t="s">
        <v>19</v>
      </c>
      <c r="C12" s="2" t="s">
        <v>20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8"/>
    </row>
    <row r="13" spans="1:16" ht="12.75">
      <c r="A13" s="7"/>
      <c r="B13" s="10" t="s">
        <v>21</v>
      </c>
      <c r="C13" s="2" t="s">
        <v>22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8"/>
    </row>
    <row r="14" spans="1:16" ht="12.75">
      <c r="A14" s="7"/>
      <c r="B14" s="10" t="s">
        <v>23</v>
      </c>
      <c r="C14" s="2" t="s">
        <v>24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8"/>
    </row>
    <row r="15" spans="1:16" ht="12.75">
      <c r="A15" s="7"/>
      <c r="B15" s="10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8"/>
    </row>
    <row r="16" spans="1:16" ht="12.75">
      <c r="A16" s="7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8"/>
    </row>
    <row r="17" spans="1:16" ht="12.75">
      <c r="A17" s="7"/>
      <c r="B17" s="9" t="s">
        <v>25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8"/>
    </row>
    <row r="18" spans="1:16" ht="27" customHeight="1">
      <c r="A18" s="7"/>
      <c r="B18" s="11" t="s">
        <v>26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</row>
    <row r="19" spans="1:16" ht="12.75">
      <c r="A19" s="7"/>
      <c r="B19" s="2" t="s">
        <v>27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8"/>
    </row>
    <row r="20" spans="1:16" ht="12.75">
      <c r="A20" s="7"/>
      <c r="B20" s="2" t="s">
        <v>28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8"/>
    </row>
    <row r="21" spans="1:16" ht="12.75">
      <c r="A21" s="7"/>
      <c r="B21" s="2" t="s">
        <v>29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8"/>
    </row>
    <row r="22" spans="1:16" ht="27" customHeight="1">
      <c r="A22" s="7"/>
      <c r="B22" s="11" t="s">
        <v>30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</row>
    <row r="23" spans="1:16" ht="12.75">
      <c r="A23" s="7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8"/>
    </row>
    <row r="24" spans="1:16" ht="12.75">
      <c r="A24" s="7"/>
      <c r="B24" s="9" t="s">
        <v>31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8"/>
    </row>
    <row r="25" spans="1:16" ht="12.75">
      <c r="A25" s="7"/>
      <c r="B25" s="2" t="s">
        <v>32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8"/>
    </row>
    <row r="26" spans="1:16" ht="12.75">
      <c r="A26" s="7"/>
      <c r="B26" s="2" t="s">
        <v>33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8"/>
    </row>
    <row r="27" spans="1:16" ht="12.75">
      <c r="A27" s="7"/>
      <c r="B27" s="2" t="s">
        <v>34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8"/>
    </row>
    <row r="28" spans="1:16" ht="12.75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8"/>
    </row>
    <row r="29" spans="1:16" ht="30" customHeight="1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5"/>
    </row>
  </sheetData>
  <mergeCells count="3">
    <mergeCell ref="B18:P18"/>
    <mergeCell ref="B22:P22"/>
    <mergeCell ref="B29:P29"/>
  </mergeCells>
  <printOptions/>
  <pageMargins left="0.7086613774299622" right="0.7086613774299622" top="0.748031497001648" bottom="0.748031497001648" header="0.31496068835258484" footer="0.31496068835258484"/>
  <pageSetup firstPageNumber="1" useFirstPageNumber="1" orientation="landscape" paperSize="9" scale="8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3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1.390625" style="186" customWidth="1"/>
    <col min="2" max="2" width="16.8984375" style="186" customWidth="1"/>
    <col min="3" max="3" width="23.59765625" style="186" customWidth="1"/>
    <col min="4" max="13" width="9.19921875" style="186" customWidth="1"/>
    <col min="14" max="14" width="9.8984375" style="186" customWidth="1"/>
    <col min="15" max="15" width="9.19921875" style="186" customWidth="1"/>
    <col min="16" max="16" width="11.8984375" style="186" customWidth="1"/>
    <col min="17" max="17" width="7.8984375" style="186" customWidth="1"/>
    <col min="18" max="256" width="10.296875" style="186" customWidth="1"/>
  </cols>
  <sheetData>
    <row r="1" spans="1:17" ht="27.75" customHeight="1">
      <c r="A1" s="3"/>
      <c r="B1" s="17" t="s">
        <v>161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5"/>
      <c r="P1" s="5"/>
      <c r="Q1" s="6"/>
    </row>
    <row r="2" spans="1:17" ht="15.75">
      <c r="A2" s="7"/>
      <c r="B2" s="85"/>
      <c r="C2" s="9"/>
      <c r="D2" s="44"/>
      <c r="E2" s="187"/>
      <c r="F2" s="187"/>
      <c r="G2" s="187"/>
      <c r="H2" s="187"/>
      <c r="I2" s="187"/>
      <c r="J2" s="187"/>
      <c r="K2" s="187"/>
      <c r="L2" s="187"/>
      <c r="M2" s="187"/>
      <c r="N2" s="188"/>
      <c r="O2" s="2"/>
      <c r="P2" s="2"/>
      <c r="Q2" s="8"/>
    </row>
    <row r="3" spans="1:17" ht="39">
      <c r="A3" s="7"/>
      <c r="B3" s="189" t="s">
        <v>36</v>
      </c>
      <c r="C3" s="189"/>
      <c r="D3" s="190">
        <v>2004</v>
      </c>
      <c r="E3" s="190">
        <v>2005</v>
      </c>
      <c r="F3" s="190">
        <v>2006</v>
      </c>
      <c r="G3" s="190">
        <v>2007</v>
      </c>
      <c r="H3" s="190">
        <v>2008</v>
      </c>
      <c r="I3" s="190">
        <v>2009</v>
      </c>
      <c r="J3" s="190">
        <v>2010</v>
      </c>
      <c r="K3" s="190">
        <v>2011</v>
      </c>
      <c r="L3" s="190">
        <v>2012</v>
      </c>
      <c r="M3" s="191" t="s">
        <v>55</v>
      </c>
      <c r="N3" s="191" t="s">
        <v>162</v>
      </c>
      <c r="O3" s="2"/>
      <c r="P3" s="2"/>
      <c r="Q3" s="8"/>
    </row>
    <row r="4" spans="1:17" ht="12.75">
      <c r="A4" s="7"/>
      <c r="B4" s="63" t="s">
        <v>37</v>
      </c>
      <c r="C4" s="64" t="s">
        <v>38</v>
      </c>
      <c r="D4" s="192">
        <f>37983+56503+25845</f>
        <v>120331</v>
      </c>
      <c r="E4" s="192">
        <v>97918</v>
      </c>
      <c r="F4" s="192">
        <v>82589</v>
      </c>
      <c r="G4" s="192">
        <v>87122</v>
      </c>
      <c r="H4" s="192">
        <v>67605.2</v>
      </c>
      <c r="I4" s="192">
        <f>25645.56+30265.47+18537.98</f>
        <v>74449.01</v>
      </c>
      <c r="J4" s="192">
        <v>72189.04</v>
      </c>
      <c r="K4" s="192">
        <v>68171</v>
      </c>
      <c r="L4" s="192">
        <v>56447.95</v>
      </c>
      <c r="M4" s="193">
        <f>(L4-K4)/K4</f>
        <v>-0.17196535183582465</v>
      </c>
      <c r="N4" s="193">
        <f>L4/$L$22</f>
        <v>0.028438476331307954</v>
      </c>
      <c r="O4" s="52"/>
      <c r="P4" s="52"/>
      <c r="Q4" s="194"/>
    </row>
    <row r="5" spans="1:17" ht="12.75">
      <c r="A5" s="7"/>
      <c r="B5" s="30"/>
      <c r="C5" s="31" t="s">
        <v>39</v>
      </c>
      <c r="D5" s="195">
        <f>525+38443+27860+1161+181070</f>
        <v>249059</v>
      </c>
      <c r="E5" s="195">
        <v>199372</v>
      </c>
      <c r="F5" s="195">
        <v>170834</v>
      </c>
      <c r="G5" s="195">
        <v>176437</v>
      </c>
      <c r="H5" s="195">
        <v>192414.8</v>
      </c>
      <c r="I5" s="195">
        <f>249.35+29808.97+20149.28+675.09+126421.82</f>
        <v>177304.51</v>
      </c>
      <c r="J5" s="195">
        <v>183254</v>
      </c>
      <c r="K5" s="195">
        <v>188413</v>
      </c>
      <c r="L5" s="195">
        <v>192596.71</v>
      </c>
      <c r="M5" s="196">
        <f aca="true" t="shared" si="0" ref="M5:M22">(L5-K5)/K5</f>
        <v>0.022204996470519506</v>
      </c>
      <c r="N5" s="196">
        <f>L5/$L$22</f>
        <v>0.09703021949996027</v>
      </c>
      <c r="O5" s="52"/>
      <c r="P5" s="52"/>
      <c r="Q5" s="194"/>
    </row>
    <row r="6" spans="1:17" ht="12.75">
      <c r="A6" s="7"/>
      <c r="B6" s="35" t="s">
        <v>40</v>
      </c>
      <c r="C6" s="35"/>
      <c r="D6" s="197">
        <f>SUM(D4:D5)</f>
        <v>369390</v>
      </c>
      <c r="E6" s="197">
        <f>SUM(E4:E5)</f>
        <v>297290</v>
      </c>
      <c r="F6" s="197">
        <f>SUM(F4:F5)</f>
        <v>253423</v>
      </c>
      <c r="G6" s="197">
        <f>SUM(G4:G5)</f>
        <v>263559</v>
      </c>
      <c r="H6" s="197">
        <f>SUM(H4:H5)</f>
        <v>260020</v>
      </c>
      <c r="I6" s="197">
        <f>SUM(I4:I5)</f>
        <v>251753.52000000002</v>
      </c>
      <c r="J6" s="197">
        <f>SUM(J4:J5)</f>
        <v>255443.03999999998</v>
      </c>
      <c r="K6" s="197">
        <f>SUM(K4:K5)</f>
        <v>256584</v>
      </c>
      <c r="L6" s="197">
        <f>SUM(L4:L5)</f>
        <v>249044.65999999997</v>
      </c>
      <c r="M6" s="198">
        <f t="shared" si="0"/>
        <v>-0.029383515729741627</v>
      </c>
      <c r="N6" s="198">
        <f>L6/$L$22</f>
        <v>0.1254686958312682</v>
      </c>
      <c r="O6" s="52"/>
      <c r="P6" s="52"/>
      <c r="Q6" s="194"/>
    </row>
    <row r="7" spans="1:17" ht="15.75">
      <c r="A7" s="7"/>
      <c r="B7" s="85"/>
      <c r="C7" s="9"/>
      <c r="D7" s="199"/>
      <c r="E7" s="199"/>
      <c r="F7" s="199"/>
      <c r="G7" s="199"/>
      <c r="H7" s="199"/>
      <c r="I7" s="199"/>
      <c r="J7" s="199"/>
      <c r="K7" s="199"/>
      <c r="L7" s="199"/>
      <c r="M7" s="200"/>
      <c r="N7" s="200"/>
      <c r="O7" s="52"/>
      <c r="P7" s="52"/>
      <c r="Q7" s="194"/>
    </row>
    <row r="8" spans="1:17" ht="12.75">
      <c r="A8" s="7"/>
      <c r="B8" s="9" t="s">
        <v>59</v>
      </c>
      <c r="C8" s="2" t="s">
        <v>42</v>
      </c>
      <c r="D8" s="201">
        <v>247512</v>
      </c>
      <c r="E8" s="52">
        <v>232427.62</v>
      </c>
      <c r="F8" s="52">
        <v>197929.91</v>
      </c>
      <c r="G8" s="52">
        <v>182535</v>
      </c>
      <c r="H8" s="52">
        <v>163248</v>
      </c>
      <c r="I8" s="52">
        <v>185664.08</v>
      </c>
      <c r="J8" s="52">
        <v>205425</v>
      </c>
      <c r="K8" s="52">
        <v>223875</v>
      </c>
      <c r="L8" s="52">
        <v>234435.87</v>
      </c>
      <c r="M8" s="200">
        <f t="shared" si="0"/>
        <v>0.047173065326633144</v>
      </c>
      <c r="N8" s="200">
        <f>L8/$L$22</f>
        <v>0.11810878765667467</v>
      </c>
      <c r="O8" s="52"/>
      <c r="P8" s="52"/>
      <c r="Q8" s="194"/>
    </row>
    <row r="9" spans="1:17" ht="12.75">
      <c r="A9" s="7"/>
      <c r="B9" s="2"/>
      <c r="C9" s="2" t="s">
        <v>43</v>
      </c>
      <c r="D9" s="201">
        <v>16392</v>
      </c>
      <c r="E9" s="52">
        <v>15350</v>
      </c>
      <c r="F9" s="52">
        <v>10530</v>
      </c>
      <c r="G9" s="52"/>
      <c r="H9" s="52"/>
      <c r="I9" s="52"/>
      <c r="J9" s="52"/>
      <c r="K9" s="52"/>
      <c r="L9" s="52"/>
      <c r="M9" s="200"/>
      <c r="N9" s="200"/>
      <c r="O9" s="52"/>
      <c r="P9" s="52"/>
      <c r="Q9" s="194"/>
    </row>
    <row r="10" spans="1:17" ht="12.75">
      <c r="A10" s="7"/>
      <c r="B10" s="2"/>
      <c r="C10" s="2" t="s">
        <v>44</v>
      </c>
      <c r="D10" s="201">
        <v>1039741</v>
      </c>
      <c r="E10" s="52">
        <v>1145233</v>
      </c>
      <c r="F10" s="52">
        <v>1019886.06</v>
      </c>
      <c r="G10" s="52">
        <v>950660</v>
      </c>
      <c r="H10" s="52">
        <v>826130</v>
      </c>
      <c r="I10" s="52">
        <v>883978.44</v>
      </c>
      <c r="J10" s="52">
        <v>975980</v>
      </c>
      <c r="K10" s="52">
        <v>1004744</v>
      </c>
      <c r="L10" s="52">
        <v>1079367.27</v>
      </c>
      <c r="M10" s="200">
        <f t="shared" si="0"/>
        <v>0.07427092871417995</v>
      </c>
      <c r="N10" s="200">
        <f>L10/$L$22</f>
        <v>0.5437852138241244</v>
      </c>
      <c r="O10" s="52"/>
      <c r="P10" s="200"/>
      <c r="Q10" s="194"/>
    </row>
    <row r="11" spans="1:17" ht="12.75">
      <c r="A11" s="7"/>
      <c r="B11" s="2"/>
      <c r="C11" s="31" t="s">
        <v>45</v>
      </c>
      <c r="D11" s="202">
        <v>185</v>
      </c>
      <c r="E11" s="195">
        <v>464.23</v>
      </c>
      <c r="F11" s="195"/>
      <c r="G11" s="195"/>
      <c r="H11" s="195"/>
      <c r="I11" s="195"/>
      <c r="J11" s="195"/>
      <c r="K11" s="195"/>
      <c r="L11" s="195"/>
      <c r="M11" s="196"/>
      <c r="N11" s="196"/>
      <c r="O11" s="52"/>
      <c r="P11" s="52"/>
      <c r="Q11" s="194"/>
    </row>
    <row r="12" spans="1:17" ht="12.75">
      <c r="A12" s="7"/>
      <c r="B12" s="9"/>
      <c r="C12" s="35" t="s">
        <v>46</v>
      </c>
      <c r="D12" s="197">
        <f>SUM(D8:D11)</f>
        <v>1303830</v>
      </c>
      <c r="E12" s="197">
        <f>SUM(E8:E11)</f>
        <v>1393474.85</v>
      </c>
      <c r="F12" s="197">
        <f aca="true" t="shared" si="1" ref="F12:L12">SUM(F8:F10)</f>
        <v>1228345.97</v>
      </c>
      <c r="G12" s="197">
        <f t="shared" si="1"/>
        <v>1133195</v>
      </c>
      <c r="H12" s="197">
        <f t="shared" si="1"/>
        <v>989378</v>
      </c>
      <c r="I12" s="197">
        <f t="shared" si="1"/>
        <v>1069642.52</v>
      </c>
      <c r="J12" s="197">
        <f t="shared" si="1"/>
        <v>1181405</v>
      </c>
      <c r="K12" s="197">
        <f t="shared" si="1"/>
        <v>1228619</v>
      </c>
      <c r="L12" s="197">
        <f t="shared" si="1"/>
        <v>1313803.1400000001</v>
      </c>
      <c r="M12" s="198">
        <f t="shared" si="0"/>
        <v>0.0693332432593018</v>
      </c>
      <c r="N12" s="198">
        <f>L12/$L$22</f>
        <v>0.6618940014807991</v>
      </c>
      <c r="O12" s="52"/>
      <c r="P12" s="52"/>
      <c r="Q12" s="194"/>
    </row>
    <row r="13" spans="1:17" ht="12.75">
      <c r="A13" s="7"/>
      <c r="B13" s="2"/>
      <c r="C13" s="2"/>
      <c r="D13" s="20"/>
      <c r="E13" s="20"/>
      <c r="F13" s="21"/>
      <c r="G13" s="21"/>
      <c r="H13" s="21"/>
      <c r="I13" s="21"/>
      <c r="J13" s="21"/>
      <c r="K13" s="21"/>
      <c r="L13" s="21"/>
      <c r="M13" s="200"/>
      <c r="N13" s="200"/>
      <c r="O13" s="2"/>
      <c r="P13" s="2"/>
      <c r="Q13" s="8"/>
    </row>
    <row r="14" spans="1:17" ht="12.75">
      <c r="A14" s="7"/>
      <c r="B14" s="9" t="s">
        <v>60</v>
      </c>
      <c r="C14" s="2" t="s">
        <v>48</v>
      </c>
      <c r="D14" s="201">
        <f>165338+1035</f>
        <v>166373</v>
      </c>
      <c r="E14" s="201">
        <f>151120+823</f>
        <v>151943</v>
      </c>
      <c r="F14" s="52">
        <f>138546+972</f>
        <v>139518</v>
      </c>
      <c r="G14" s="52">
        <f>114927+1117</f>
        <v>116044</v>
      </c>
      <c r="H14" s="52">
        <f>125085+826</f>
        <v>125911</v>
      </c>
      <c r="I14" s="21">
        <f>154014+930</f>
        <v>154944</v>
      </c>
      <c r="J14" s="52">
        <v>154208</v>
      </c>
      <c r="K14" s="52">
        <f>174784+1076</f>
        <v>175860</v>
      </c>
      <c r="L14" s="52">
        <v>195815.07</v>
      </c>
      <c r="M14" s="200">
        <f t="shared" si="0"/>
        <v>0.11347134083930403</v>
      </c>
      <c r="N14" s="200">
        <f>L14/$L$22</f>
        <v>0.09865162921786196</v>
      </c>
      <c r="O14" s="2"/>
      <c r="P14" s="2"/>
      <c r="Q14" s="8"/>
    </row>
    <row r="15" spans="1:17" ht="12.75">
      <c r="A15" s="7"/>
      <c r="B15" s="9"/>
      <c r="C15" s="31" t="s">
        <v>49</v>
      </c>
      <c r="D15" s="202">
        <v>213577</v>
      </c>
      <c r="E15" s="202">
        <v>169388</v>
      </c>
      <c r="F15" s="195">
        <v>138984</v>
      </c>
      <c r="G15" s="195">
        <v>144353</v>
      </c>
      <c r="H15" s="195">
        <v>159953</v>
      </c>
      <c r="I15" s="203">
        <f>194106+206.95</f>
        <v>194312.95</v>
      </c>
      <c r="J15" s="195">
        <v>214224</v>
      </c>
      <c r="K15" s="195">
        <v>219869</v>
      </c>
      <c r="L15" s="195">
        <v>200664.21</v>
      </c>
      <c r="M15" s="196">
        <f t="shared" si="0"/>
        <v>-0.08734651087693131</v>
      </c>
      <c r="N15" s="196">
        <f>L15/$L$22</f>
        <v>0.10109462587437823</v>
      </c>
      <c r="O15" s="2"/>
      <c r="P15" s="2"/>
      <c r="Q15" s="8"/>
    </row>
    <row r="16" spans="1:17" ht="12.75">
      <c r="A16" s="7"/>
      <c r="B16" s="9"/>
      <c r="C16" s="35" t="s">
        <v>50</v>
      </c>
      <c r="D16" s="197">
        <f aca="true" t="shared" si="2" ref="D16:J16">SUM(D14:D15)</f>
        <v>379950</v>
      </c>
      <c r="E16" s="197">
        <f t="shared" si="2"/>
        <v>321331</v>
      </c>
      <c r="F16" s="197">
        <f t="shared" si="2"/>
        <v>278502</v>
      </c>
      <c r="G16" s="197">
        <f t="shared" si="2"/>
        <v>260397</v>
      </c>
      <c r="H16" s="197">
        <f t="shared" si="2"/>
        <v>285864</v>
      </c>
      <c r="I16" s="197">
        <f t="shared" si="2"/>
        <v>349256.95</v>
      </c>
      <c r="J16" s="197">
        <f t="shared" si="2"/>
        <v>368432</v>
      </c>
      <c r="K16" s="197">
        <f>SUM(K14:K15)</f>
        <v>395729</v>
      </c>
      <c r="L16" s="197">
        <f>SUM(L14:L15)</f>
        <v>396479.28</v>
      </c>
      <c r="M16" s="198">
        <f t="shared" si="0"/>
        <v>0.0018959439414347392</v>
      </c>
      <c r="N16" s="198">
        <f>L16/$L$22</f>
        <v>0.1997462550922402</v>
      </c>
      <c r="O16" s="2"/>
      <c r="P16" s="2"/>
      <c r="Q16" s="8"/>
    </row>
    <row r="17" spans="1:17" ht="12.75">
      <c r="A17" s="7"/>
      <c r="B17" s="2"/>
      <c r="C17" s="9"/>
      <c r="D17" s="199"/>
      <c r="E17" s="199"/>
      <c r="F17" s="199"/>
      <c r="G17" s="199"/>
      <c r="H17" s="199"/>
      <c r="I17" s="199"/>
      <c r="J17" s="199"/>
      <c r="K17" s="199"/>
      <c r="L17" s="199"/>
      <c r="M17" s="200"/>
      <c r="N17" s="200"/>
      <c r="O17" s="2"/>
      <c r="P17" s="2"/>
      <c r="Q17" s="8"/>
    </row>
    <row r="18" spans="1:17" ht="12.75">
      <c r="A18" s="7"/>
      <c r="B18" s="9" t="s">
        <v>51</v>
      </c>
      <c r="C18" s="2"/>
      <c r="D18" s="201">
        <v>19197</v>
      </c>
      <c r="E18" s="201">
        <v>16444</v>
      </c>
      <c r="F18" s="201">
        <v>11417.34</v>
      </c>
      <c r="G18" s="201">
        <v>15217</v>
      </c>
      <c r="H18" s="201">
        <v>17819</v>
      </c>
      <c r="I18" s="201">
        <v>22780.17</v>
      </c>
      <c r="J18" s="201">
        <v>24788</v>
      </c>
      <c r="K18" s="201">
        <v>28427</v>
      </c>
      <c r="L18" s="201">
        <v>25587.63</v>
      </c>
      <c r="M18" s="200">
        <f t="shared" si="0"/>
        <v>-0.09988285784641358</v>
      </c>
      <c r="N18" s="200">
        <f>L18/$L$22</f>
        <v>0.012891047595692411</v>
      </c>
      <c r="O18" s="2"/>
      <c r="P18" s="2"/>
      <c r="Q18" s="8"/>
    </row>
    <row r="19" spans="1:17" ht="12.75">
      <c r="A19" s="7"/>
      <c r="B19" s="30"/>
      <c r="C19" s="30"/>
      <c r="D19" s="204"/>
      <c r="E19" s="204"/>
      <c r="F19" s="204"/>
      <c r="G19" s="204"/>
      <c r="H19" s="204"/>
      <c r="I19" s="204"/>
      <c r="J19" s="204"/>
      <c r="K19" s="204"/>
      <c r="L19" s="204"/>
      <c r="M19" s="196"/>
      <c r="N19" s="196"/>
      <c r="O19" s="2"/>
      <c r="P19" s="2"/>
      <c r="Q19" s="8"/>
    </row>
    <row r="20" spans="1:17" ht="12.75">
      <c r="A20" s="7"/>
      <c r="B20" s="35" t="s">
        <v>52</v>
      </c>
      <c r="C20" s="35"/>
      <c r="D20" s="197">
        <f aca="true" t="shared" si="3" ref="D20:L20">D18+D16+D12</f>
        <v>1702977</v>
      </c>
      <c r="E20" s="197">
        <f t="shared" si="3"/>
        <v>1731249.85</v>
      </c>
      <c r="F20" s="197">
        <f t="shared" si="3"/>
        <v>1518265.31</v>
      </c>
      <c r="G20" s="197">
        <f t="shared" si="3"/>
        <v>1408809</v>
      </c>
      <c r="H20" s="197">
        <f t="shared" si="3"/>
        <v>1293061</v>
      </c>
      <c r="I20" s="197">
        <f t="shared" si="3"/>
        <v>1441679.6400000001</v>
      </c>
      <c r="J20" s="197">
        <f t="shared" si="3"/>
        <v>1574625</v>
      </c>
      <c r="K20" s="197">
        <f t="shared" si="3"/>
        <v>1652775</v>
      </c>
      <c r="L20" s="197">
        <f t="shared" si="3"/>
        <v>1735870.0500000003</v>
      </c>
      <c r="M20" s="198">
        <f t="shared" si="0"/>
        <v>0.05027608113627099</v>
      </c>
      <c r="N20" s="198">
        <f>L20/$L$22</f>
        <v>0.8745313041687318</v>
      </c>
      <c r="O20" s="2"/>
      <c r="P20" s="2"/>
      <c r="Q20" s="8"/>
    </row>
    <row r="21" spans="1:17" ht="13.5">
      <c r="A21" s="7"/>
      <c r="B21" s="46"/>
      <c r="C21" s="75"/>
      <c r="D21" s="205"/>
      <c r="E21" s="205"/>
      <c r="F21" s="205"/>
      <c r="G21" s="205"/>
      <c r="H21" s="205"/>
      <c r="I21" s="205"/>
      <c r="J21" s="205"/>
      <c r="K21" s="205"/>
      <c r="L21" s="205"/>
      <c r="M21" s="206"/>
      <c r="N21" s="206"/>
      <c r="O21" s="2"/>
      <c r="P21" s="2"/>
      <c r="Q21" s="8"/>
    </row>
    <row r="22" spans="1:17" ht="12.75">
      <c r="A22" s="7"/>
      <c r="B22" s="49" t="s">
        <v>163</v>
      </c>
      <c r="C22" s="49"/>
      <c r="D22" s="207">
        <f aca="true" t="shared" si="4" ref="D22:L22">D20+D6</f>
        <v>2072367</v>
      </c>
      <c r="E22" s="207">
        <f t="shared" si="4"/>
        <v>2028539.85</v>
      </c>
      <c r="F22" s="207">
        <f t="shared" si="4"/>
        <v>1771688.31</v>
      </c>
      <c r="G22" s="207">
        <f t="shared" si="4"/>
        <v>1672368</v>
      </c>
      <c r="H22" s="207">
        <f t="shared" si="4"/>
        <v>1553081</v>
      </c>
      <c r="I22" s="207">
        <f t="shared" si="4"/>
        <v>1693433.1600000001</v>
      </c>
      <c r="J22" s="207">
        <f t="shared" si="4"/>
        <v>1830068.04</v>
      </c>
      <c r="K22" s="207">
        <f t="shared" si="4"/>
        <v>1909359</v>
      </c>
      <c r="L22" s="207">
        <f t="shared" si="4"/>
        <v>1984914.7100000002</v>
      </c>
      <c r="M22" s="193">
        <f t="shared" si="0"/>
        <v>0.03957124354299019</v>
      </c>
      <c r="N22" s="193">
        <f>SUM(N20+N6)</f>
        <v>1</v>
      </c>
      <c r="O22" s="2"/>
      <c r="P22" s="2"/>
      <c r="Q22" s="8"/>
    </row>
    <row r="23" spans="1:17" ht="12.75">
      <c r="A23" s="13"/>
      <c r="B23" s="53"/>
      <c r="C23" s="53"/>
      <c r="D23" s="208"/>
      <c r="E23" s="208"/>
      <c r="F23" s="56"/>
      <c r="G23" s="56"/>
      <c r="H23" s="56"/>
      <c r="I23" s="56"/>
      <c r="J23" s="56"/>
      <c r="K23" s="56"/>
      <c r="L23" s="56"/>
      <c r="M23" s="56"/>
      <c r="N23" s="56"/>
      <c r="O23" s="53"/>
      <c r="P23" s="53"/>
      <c r="Q23" s="58"/>
    </row>
  </sheetData>
  <mergeCells count="3">
    <mergeCell ref="B1:N1"/>
    <mergeCell ref="B3:C3"/>
    <mergeCell ref="B22:C22"/>
  </mergeCells>
  <printOptions/>
  <pageMargins left="0.7086613774299622" right="0.7086613774299622" top="0.748031497001648" bottom="0.748031497001648" header="0.31496068835258484" footer="0.31496068835258484"/>
  <pageSetup firstPageNumber="1" useFirstPageNumber="1" orientation="landscape" paperSize="9" scale="6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5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42.3984375" style="209" customWidth="1"/>
    <col min="2" max="3" width="7.59765625" style="209" customWidth="1"/>
    <col min="4" max="4" width="10.8984375" style="209" customWidth="1"/>
    <col min="5" max="5" width="7.59765625" style="209" customWidth="1"/>
    <col min="6" max="256" width="10.296875" style="209" customWidth="1"/>
  </cols>
  <sheetData>
    <row r="1" spans="1:5" ht="15">
      <c r="A1" s="181" t="s">
        <v>164</v>
      </c>
      <c r="B1" s="115"/>
      <c r="C1" s="115"/>
      <c r="D1" s="115"/>
      <c r="E1" s="115"/>
    </row>
    <row r="2" spans="1:5" ht="12.75">
      <c r="A2" s="115"/>
      <c r="B2" s="115"/>
      <c r="C2" s="115"/>
      <c r="D2" s="115"/>
      <c r="E2" s="115"/>
    </row>
    <row r="3" spans="1:5" ht="45">
      <c r="A3" s="115"/>
      <c r="B3" s="210">
        <v>2011</v>
      </c>
      <c r="C3" s="210">
        <v>2012</v>
      </c>
      <c r="D3" s="211" t="s">
        <v>165</v>
      </c>
      <c r="E3" s="115"/>
    </row>
    <row r="4" spans="1:5" ht="12.75">
      <c r="A4" s="115" t="s">
        <v>166</v>
      </c>
      <c r="B4" s="141">
        <v>1879</v>
      </c>
      <c r="C4" s="141">
        <v>2001</v>
      </c>
      <c r="D4" s="139">
        <f>C4/$C$21</f>
        <v>0.04092861525874412</v>
      </c>
      <c r="E4" s="115"/>
    </row>
    <row r="5" spans="1:5" ht="12.75">
      <c r="A5" s="115" t="s">
        <v>167</v>
      </c>
      <c r="B5" s="141">
        <v>3030</v>
      </c>
      <c r="C5" s="141">
        <v>2470</v>
      </c>
      <c r="D5" s="139">
        <f aca="true" t="shared" si="0" ref="D5:D19">C5/$C$21</f>
        <v>0.05052157905502148</v>
      </c>
      <c r="E5" s="115"/>
    </row>
    <row r="6" spans="1:5" ht="12.75">
      <c r="A6" s="115" t="s">
        <v>168</v>
      </c>
      <c r="B6" s="141">
        <v>1525</v>
      </c>
      <c r="C6" s="141">
        <v>1874</v>
      </c>
      <c r="D6" s="139">
        <f t="shared" si="0"/>
        <v>0.03833094702393128</v>
      </c>
      <c r="E6" s="115"/>
    </row>
    <row r="7" spans="1:5" ht="12.75">
      <c r="A7" s="115" t="s">
        <v>169</v>
      </c>
      <c r="B7" s="141">
        <v>365</v>
      </c>
      <c r="C7" s="141">
        <v>417</v>
      </c>
      <c r="D7" s="139">
        <f t="shared" si="0"/>
        <v>0.008529351605645327</v>
      </c>
      <c r="E7" s="115"/>
    </row>
    <row r="8" spans="1:5" ht="12.75">
      <c r="A8" s="115" t="s">
        <v>170</v>
      </c>
      <c r="B8" s="141">
        <v>348</v>
      </c>
      <c r="C8" s="141">
        <v>298</v>
      </c>
      <c r="D8" s="139">
        <f t="shared" si="0"/>
        <v>0.006095316015545102</v>
      </c>
      <c r="E8" s="115"/>
    </row>
    <row r="9" spans="1:5" ht="12.75">
      <c r="A9" s="115" t="s">
        <v>171</v>
      </c>
      <c r="B9" s="141">
        <v>1893</v>
      </c>
      <c r="C9" s="141">
        <v>2156</v>
      </c>
      <c r="D9" s="139">
        <f t="shared" si="0"/>
        <v>0.04409899775005113</v>
      </c>
      <c r="E9" s="115"/>
    </row>
    <row r="10" spans="1:5" ht="12.75">
      <c r="A10" s="115" t="s">
        <v>172</v>
      </c>
      <c r="B10" s="141">
        <v>1262</v>
      </c>
      <c r="C10" s="141">
        <v>1015</v>
      </c>
      <c r="D10" s="139">
        <f t="shared" si="0"/>
        <v>0.020760891797913683</v>
      </c>
      <c r="E10" s="115"/>
    </row>
    <row r="11" spans="1:5" ht="12.75">
      <c r="A11" s="115" t="s">
        <v>173</v>
      </c>
      <c r="B11" s="141">
        <v>13246</v>
      </c>
      <c r="C11" s="141">
        <v>13933</v>
      </c>
      <c r="D11" s="139">
        <f t="shared" si="0"/>
        <v>0.2849867048476171</v>
      </c>
      <c r="E11" s="115"/>
    </row>
    <row r="12" spans="1:5" ht="12.75">
      <c r="A12" s="115" t="s">
        <v>174</v>
      </c>
      <c r="B12" s="141">
        <v>1746</v>
      </c>
      <c r="C12" s="141">
        <v>1682</v>
      </c>
      <c r="D12" s="139">
        <f t="shared" si="0"/>
        <v>0.034403763550828394</v>
      </c>
      <c r="E12" s="115"/>
    </row>
    <row r="13" spans="1:5" ht="12.75">
      <c r="A13" s="115" t="s">
        <v>175</v>
      </c>
      <c r="B13" s="141">
        <v>931</v>
      </c>
      <c r="C13" s="141">
        <v>976</v>
      </c>
      <c r="D13" s="139">
        <f t="shared" si="0"/>
        <v>0.01996318265493966</v>
      </c>
      <c r="E13" s="115"/>
    </row>
    <row r="14" spans="1:5" ht="12.75">
      <c r="A14" s="115" t="s">
        <v>176</v>
      </c>
      <c r="B14" s="141">
        <v>2158</v>
      </c>
      <c r="C14" s="141">
        <v>2669</v>
      </c>
      <c r="D14" s="139">
        <f t="shared" si="0"/>
        <v>0.0545919410922479</v>
      </c>
      <c r="E14" s="115"/>
    </row>
    <row r="15" spans="1:5" ht="12.75">
      <c r="A15" s="115" t="s">
        <v>177</v>
      </c>
      <c r="B15" s="141">
        <v>4221</v>
      </c>
      <c r="C15" s="141">
        <v>3947</v>
      </c>
      <c r="D15" s="139">
        <f t="shared" si="0"/>
        <v>0.08073225608508898</v>
      </c>
      <c r="E15" s="115"/>
    </row>
    <row r="16" spans="1:5" ht="12.75">
      <c r="A16" s="115" t="s">
        <v>178</v>
      </c>
      <c r="B16" s="141">
        <v>234</v>
      </c>
      <c r="C16" s="141">
        <v>297</v>
      </c>
      <c r="D16" s="139">
        <f t="shared" si="0"/>
        <v>0.006074861934956024</v>
      </c>
      <c r="E16" s="115"/>
    </row>
    <row r="17" spans="1:5" ht="12.75">
      <c r="A17" s="115" t="s">
        <v>179</v>
      </c>
      <c r="B17" s="141">
        <v>16241</v>
      </c>
      <c r="C17" s="141">
        <v>14907</v>
      </c>
      <c r="D17" s="139">
        <f t="shared" si="0"/>
        <v>0.3049089793413786</v>
      </c>
      <c r="E17" s="115"/>
    </row>
    <row r="18" spans="1:5" ht="12.75">
      <c r="A18" s="115" t="s">
        <v>180</v>
      </c>
      <c r="B18" s="141">
        <v>176</v>
      </c>
      <c r="C18" s="141">
        <v>94</v>
      </c>
      <c r="D18" s="139">
        <f t="shared" si="0"/>
        <v>0.001922683575373287</v>
      </c>
      <c r="E18" s="115"/>
    </row>
    <row r="19" spans="1:5" ht="12.75">
      <c r="A19" s="115" t="s">
        <v>181</v>
      </c>
      <c r="B19" s="141">
        <v>127</v>
      </c>
      <c r="C19" s="141">
        <v>154</v>
      </c>
      <c r="D19" s="139">
        <f t="shared" si="0"/>
        <v>0.003149928410717938</v>
      </c>
      <c r="E19" s="115"/>
    </row>
    <row r="20" spans="1:5" ht="12.75">
      <c r="A20" s="120"/>
      <c r="B20" s="212"/>
      <c r="C20" s="212"/>
      <c r="D20" s="120"/>
      <c r="E20" s="115"/>
    </row>
    <row r="21" spans="1:5" ht="12.75">
      <c r="A21" s="213" t="s">
        <v>137</v>
      </c>
      <c r="B21" s="214">
        <f>SUM(B4:B19)</f>
        <v>49382</v>
      </c>
      <c r="C21" s="214">
        <f>SUM(C4:C19)</f>
        <v>48890</v>
      </c>
      <c r="D21" s="215">
        <f>SUM(D4:D19)</f>
        <v>0.9999999999999999</v>
      </c>
      <c r="E21" s="125"/>
    </row>
    <row r="22" spans="1:5" ht="12.75">
      <c r="A22" s="153"/>
      <c r="B22" s="216"/>
      <c r="C22" s="216"/>
      <c r="D22" s="153"/>
      <c r="E22" s="115"/>
    </row>
    <row r="23" spans="1:5" ht="12.75">
      <c r="A23" s="115"/>
      <c r="B23" s="141"/>
      <c r="C23" s="141"/>
      <c r="D23" s="115"/>
      <c r="E23" s="115"/>
    </row>
    <row r="24" spans="1:5" ht="12.75">
      <c r="A24" s="115"/>
      <c r="B24" s="141"/>
      <c r="C24" s="141"/>
      <c r="D24" s="115"/>
      <c r="E24" s="115"/>
    </row>
    <row r="25" spans="1:5" ht="12.75">
      <c r="A25" s="115" t="s">
        <v>182</v>
      </c>
      <c r="B25" s="115"/>
      <c r="C25" s="115"/>
      <c r="D25" s="115"/>
      <c r="E25" s="115"/>
    </row>
  </sheetData>
  <printOptions/>
  <pageMargins left="0.7086613774299622" right="0.7086613774299622" top="0.748031497001648" bottom="0.748031497001648" header="0.31496068835258484" footer="0.31496068835258484"/>
  <pageSetup firstPageNumber="1" useFirstPageNumber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81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41" style="217" customWidth="1"/>
    <col min="2" max="2" width="13" style="217" customWidth="1"/>
    <col min="3" max="3" width="11.3984375" style="217" customWidth="1"/>
    <col min="4" max="4" width="10.69921875" style="217" customWidth="1"/>
    <col min="5" max="5" width="7.59765625" style="217" customWidth="1"/>
    <col min="6" max="256" width="10.296875" style="217" customWidth="1"/>
  </cols>
  <sheetData>
    <row r="1" spans="1:5" ht="12.75">
      <c r="A1" s="115"/>
      <c r="B1" s="115"/>
      <c r="C1" s="115"/>
      <c r="D1" s="115"/>
      <c r="E1" s="115"/>
    </row>
    <row r="2" spans="1:5" ht="18">
      <c r="A2" s="218" t="s">
        <v>183</v>
      </c>
      <c r="B2" s="115"/>
      <c r="C2" s="115"/>
      <c r="D2" s="115"/>
      <c r="E2" s="115"/>
    </row>
    <row r="3" spans="1:5" ht="15">
      <c r="A3" s="181"/>
      <c r="B3" s="115"/>
      <c r="C3" s="115"/>
      <c r="D3" s="115"/>
      <c r="E3" s="115"/>
    </row>
    <row r="4" spans="1:5" ht="14.25">
      <c r="A4" s="219" t="s">
        <v>184</v>
      </c>
      <c r="B4" s="115"/>
      <c r="C4" s="115"/>
      <c r="D4" s="115"/>
      <c r="E4" s="115"/>
    </row>
    <row r="5" spans="1:5" ht="15">
      <c r="A5" s="220"/>
      <c r="B5" s="120"/>
      <c r="C5" s="120"/>
      <c r="D5" s="115"/>
      <c r="E5" s="115"/>
    </row>
    <row r="6" spans="1:5" ht="15">
      <c r="A6" s="221" t="s">
        <v>185</v>
      </c>
      <c r="B6" s="222"/>
      <c r="C6" s="222"/>
      <c r="D6" s="125"/>
      <c r="E6" s="115"/>
    </row>
    <row r="7" spans="1:5" ht="39">
      <c r="A7" s="223"/>
      <c r="B7" s="153" t="s">
        <v>186</v>
      </c>
      <c r="C7" s="224" t="s">
        <v>187</v>
      </c>
      <c r="D7" s="115"/>
      <c r="E7" s="115"/>
    </row>
    <row r="8" spans="1:5" ht="14.25">
      <c r="A8" s="219" t="s">
        <v>188</v>
      </c>
      <c r="B8" s="115">
        <v>51</v>
      </c>
      <c r="C8" s="141">
        <v>8795</v>
      </c>
      <c r="D8" s="115"/>
      <c r="E8" s="115"/>
    </row>
    <row r="9" spans="1:5" ht="14.25">
      <c r="A9" s="219" t="s">
        <v>189</v>
      </c>
      <c r="B9" s="115">
        <v>20</v>
      </c>
      <c r="C9" s="141">
        <v>1512</v>
      </c>
      <c r="D9" s="115"/>
      <c r="E9" s="115"/>
    </row>
    <row r="10" spans="1:5" ht="14.25">
      <c r="A10" s="219" t="s">
        <v>190</v>
      </c>
      <c r="B10" s="115">
        <v>13</v>
      </c>
      <c r="C10" s="141">
        <v>871</v>
      </c>
      <c r="D10" s="115"/>
      <c r="E10" s="115"/>
    </row>
    <row r="11" spans="1:5" ht="14.25">
      <c r="A11" s="219" t="s">
        <v>191</v>
      </c>
      <c r="B11" s="115">
        <v>2</v>
      </c>
      <c r="C11" s="141">
        <v>502</v>
      </c>
      <c r="D11" s="115"/>
      <c r="E11" s="115"/>
    </row>
    <row r="12" spans="1:5" ht="14.25">
      <c r="A12" s="219" t="s">
        <v>192</v>
      </c>
      <c r="B12" s="115">
        <v>1</v>
      </c>
      <c r="C12" s="141">
        <v>9</v>
      </c>
      <c r="D12" s="115"/>
      <c r="E12" s="115"/>
    </row>
    <row r="13" spans="1:5" ht="14.25">
      <c r="A13" s="219" t="s">
        <v>44</v>
      </c>
      <c r="B13" s="115">
        <v>7</v>
      </c>
      <c r="C13" s="141">
        <v>594</v>
      </c>
      <c r="D13" s="115"/>
      <c r="E13" s="115"/>
    </row>
    <row r="14" spans="1:5" ht="14.25">
      <c r="A14" s="219" t="s">
        <v>193</v>
      </c>
      <c r="B14" s="115">
        <v>3</v>
      </c>
      <c r="C14" s="141">
        <v>1500</v>
      </c>
      <c r="D14" s="115"/>
      <c r="E14" s="115"/>
    </row>
    <row r="15" spans="1:5" ht="14.25">
      <c r="A15" s="225" t="s">
        <v>42</v>
      </c>
      <c r="B15" s="120">
        <v>11</v>
      </c>
      <c r="C15" s="212">
        <v>1124</v>
      </c>
      <c r="D15" s="115"/>
      <c r="E15" s="115"/>
    </row>
    <row r="16" spans="1:5" ht="15">
      <c r="A16" s="226" t="s">
        <v>194</v>
      </c>
      <c r="B16" s="227"/>
      <c r="C16" s="228">
        <f>SUM(C8:C15)</f>
        <v>14907</v>
      </c>
      <c r="D16" s="125"/>
      <c r="E16" s="115"/>
    </row>
    <row r="17" spans="1:5" ht="14.25">
      <c r="A17" s="229"/>
      <c r="B17" s="230"/>
      <c r="C17" s="231"/>
      <c r="D17" s="115"/>
      <c r="E17" s="115"/>
    </row>
    <row r="18" spans="1:5" ht="15">
      <c r="A18" s="226" t="s">
        <v>195</v>
      </c>
      <c r="B18" s="227"/>
      <c r="C18" s="228">
        <v>48890</v>
      </c>
      <c r="D18" s="125"/>
      <c r="E18" s="115"/>
    </row>
    <row r="19" spans="1:5" ht="15">
      <c r="A19" s="226" t="s">
        <v>196</v>
      </c>
      <c r="B19" s="227"/>
      <c r="C19" s="232">
        <f>C16/C18</f>
        <v>0.3049089793413786</v>
      </c>
      <c r="D19" s="125"/>
      <c r="E19" s="115"/>
    </row>
    <row r="20" spans="1:5" ht="12.75">
      <c r="A20" s="230"/>
      <c r="B20" s="230"/>
      <c r="C20" s="230"/>
      <c r="D20" s="115"/>
      <c r="E20" s="115"/>
    </row>
    <row r="21" spans="1:5" ht="27" customHeight="1">
      <c r="A21" s="221" t="s">
        <v>197</v>
      </c>
      <c r="B21" s="222"/>
      <c r="C21" s="222"/>
      <c r="D21" s="125"/>
      <c r="E21" s="115"/>
    </row>
    <row r="22" spans="1:5" ht="9" customHeight="1">
      <c r="A22" s="233"/>
      <c r="B22" s="230"/>
      <c r="C22" s="230"/>
      <c r="D22" s="120"/>
      <c r="E22" s="115"/>
    </row>
    <row r="23" spans="1:5" ht="21" customHeight="1">
      <c r="A23" s="234" t="s">
        <v>89</v>
      </c>
      <c r="B23" s="234">
        <v>2011</v>
      </c>
      <c r="C23" s="234">
        <v>2012</v>
      </c>
      <c r="D23" s="235" t="s">
        <v>165</v>
      </c>
      <c r="E23" s="125"/>
    </row>
    <row r="24" spans="1:5" ht="12.75">
      <c r="A24" s="127" t="s">
        <v>93</v>
      </c>
      <c r="B24" s="128">
        <v>1984</v>
      </c>
      <c r="C24" s="128">
        <v>1842</v>
      </c>
      <c r="D24" s="236">
        <f>C24/$C$55</f>
        <v>0.20943718021603183</v>
      </c>
      <c r="E24" s="115"/>
    </row>
    <row r="25" spans="1:5" ht="12.75">
      <c r="A25" s="115" t="s">
        <v>198</v>
      </c>
      <c r="B25" s="141">
        <v>1667</v>
      </c>
      <c r="C25" s="141">
        <v>1088</v>
      </c>
      <c r="D25" s="237">
        <f aca="true" t="shared" si="0" ref="D25:D53">C25/$C$55</f>
        <v>0.12370665150653781</v>
      </c>
      <c r="E25" s="115"/>
    </row>
    <row r="26" spans="1:5" ht="12.75">
      <c r="A26" s="115" t="s">
        <v>138</v>
      </c>
      <c r="B26" s="141">
        <v>762</v>
      </c>
      <c r="C26" s="141">
        <v>1003</v>
      </c>
      <c r="D26" s="237">
        <f t="shared" si="0"/>
        <v>0.11404206935758954</v>
      </c>
      <c r="E26" s="115"/>
    </row>
    <row r="27" spans="1:5" ht="12.75">
      <c r="A27" s="115" t="s">
        <v>99</v>
      </c>
      <c r="B27" s="141">
        <v>970</v>
      </c>
      <c r="C27" s="141">
        <v>794</v>
      </c>
      <c r="D27" s="237">
        <f t="shared" si="0"/>
        <v>0.09027856736782262</v>
      </c>
      <c r="E27" s="115"/>
    </row>
    <row r="28" spans="1:5" ht="12.75">
      <c r="A28" s="115" t="s">
        <v>94</v>
      </c>
      <c r="B28" s="141">
        <v>869</v>
      </c>
      <c r="C28" s="141">
        <v>663</v>
      </c>
      <c r="D28" s="237">
        <f t="shared" si="0"/>
        <v>0.07538374076179648</v>
      </c>
      <c r="E28" s="115"/>
    </row>
    <row r="29" spans="1:5" ht="12.75">
      <c r="A29" s="115" t="s">
        <v>199</v>
      </c>
      <c r="B29" s="141">
        <v>569</v>
      </c>
      <c r="C29" s="141">
        <v>608</v>
      </c>
      <c r="D29" s="237">
        <f t="shared" si="0"/>
        <v>0.06913018760659466</v>
      </c>
      <c r="E29" s="115"/>
    </row>
    <row r="30" spans="1:5" ht="12.75">
      <c r="A30" s="115" t="s">
        <v>95</v>
      </c>
      <c r="B30" s="141">
        <v>528</v>
      </c>
      <c r="C30" s="141">
        <v>472</v>
      </c>
      <c r="D30" s="237">
        <f t="shared" si="0"/>
        <v>0.05366685616827743</v>
      </c>
      <c r="E30" s="115"/>
    </row>
    <row r="31" spans="1:5" ht="12.75">
      <c r="A31" s="115" t="s">
        <v>106</v>
      </c>
      <c r="B31" s="141">
        <v>530</v>
      </c>
      <c r="C31" s="141">
        <v>462</v>
      </c>
      <c r="D31" s="237">
        <f t="shared" si="0"/>
        <v>0.05252984650369528</v>
      </c>
      <c r="E31" s="115"/>
    </row>
    <row r="32" spans="1:5" ht="12.75">
      <c r="A32" s="115" t="s">
        <v>97</v>
      </c>
      <c r="B32" s="141">
        <v>350</v>
      </c>
      <c r="C32" s="141">
        <v>320</v>
      </c>
      <c r="D32" s="237">
        <f t="shared" si="0"/>
        <v>0.036384309266628764</v>
      </c>
      <c r="E32" s="115"/>
    </row>
    <row r="33" spans="1:5" ht="12.75">
      <c r="A33" s="115" t="s">
        <v>108</v>
      </c>
      <c r="B33" s="141">
        <v>109</v>
      </c>
      <c r="C33" s="141">
        <v>298</v>
      </c>
      <c r="D33" s="237">
        <f t="shared" si="0"/>
        <v>0.033882888004548035</v>
      </c>
      <c r="E33" s="115"/>
    </row>
    <row r="34" spans="1:5" ht="12.75">
      <c r="A34" s="115" t="s">
        <v>103</v>
      </c>
      <c r="B34" s="141">
        <v>213</v>
      </c>
      <c r="C34" s="141">
        <v>173</v>
      </c>
      <c r="D34" s="237">
        <f t="shared" si="0"/>
        <v>0.019670267197271177</v>
      </c>
      <c r="E34" s="115"/>
    </row>
    <row r="35" spans="1:5" ht="12.75">
      <c r="A35" s="115" t="s">
        <v>109</v>
      </c>
      <c r="B35" s="141">
        <v>159</v>
      </c>
      <c r="C35" s="141">
        <v>149</v>
      </c>
      <c r="D35" s="237">
        <f t="shared" si="0"/>
        <v>0.016941444002274018</v>
      </c>
      <c r="E35" s="115"/>
    </row>
    <row r="36" spans="1:5" ht="12.75">
      <c r="A36" s="115" t="s">
        <v>105</v>
      </c>
      <c r="B36" s="141">
        <v>151</v>
      </c>
      <c r="C36" s="141">
        <v>139</v>
      </c>
      <c r="D36" s="237">
        <f t="shared" si="0"/>
        <v>0.01580443433769187</v>
      </c>
      <c r="E36" s="115"/>
    </row>
    <row r="37" spans="1:5" ht="12.75">
      <c r="A37" s="115" t="s">
        <v>117</v>
      </c>
      <c r="B37" s="141">
        <v>87</v>
      </c>
      <c r="C37" s="141">
        <v>102</v>
      </c>
      <c r="D37" s="237">
        <f t="shared" si="0"/>
        <v>0.01159749857873792</v>
      </c>
      <c r="E37" s="115"/>
    </row>
    <row r="38" spans="1:5" ht="12.75">
      <c r="A38" s="115" t="s">
        <v>200</v>
      </c>
      <c r="B38" s="141">
        <v>84</v>
      </c>
      <c r="C38" s="141">
        <v>95</v>
      </c>
      <c r="D38" s="237">
        <f t="shared" si="0"/>
        <v>0.010801591813530414</v>
      </c>
      <c r="E38" s="115"/>
    </row>
    <row r="39" spans="1:5" ht="12.75">
      <c r="A39" s="115" t="s">
        <v>118</v>
      </c>
      <c r="B39" s="141">
        <v>71</v>
      </c>
      <c r="C39" s="141">
        <v>92</v>
      </c>
      <c r="D39" s="237">
        <f t="shared" si="0"/>
        <v>0.01046048891415577</v>
      </c>
      <c r="E39" s="115"/>
    </row>
    <row r="40" spans="1:5" ht="12.75">
      <c r="A40" s="115" t="s">
        <v>201</v>
      </c>
      <c r="B40" s="141">
        <v>63</v>
      </c>
      <c r="C40" s="141">
        <v>52</v>
      </c>
      <c r="D40" s="237">
        <f t="shared" si="0"/>
        <v>0.005912450255827174</v>
      </c>
      <c r="E40" s="115"/>
    </row>
    <row r="41" spans="1:5" ht="12.75">
      <c r="A41" s="115" t="s">
        <v>127</v>
      </c>
      <c r="B41" s="141">
        <v>59</v>
      </c>
      <c r="C41" s="141">
        <v>51</v>
      </c>
      <c r="D41" s="237">
        <f t="shared" si="0"/>
        <v>0.00579874928936896</v>
      </c>
      <c r="E41" s="115"/>
    </row>
    <row r="42" spans="1:5" ht="12.75">
      <c r="A42" s="115" t="s">
        <v>202</v>
      </c>
      <c r="B42" s="141">
        <v>52</v>
      </c>
      <c r="C42" s="141">
        <v>36</v>
      </c>
      <c r="D42" s="237">
        <f t="shared" si="0"/>
        <v>0.004093234792495736</v>
      </c>
      <c r="E42" s="115"/>
    </row>
    <row r="43" spans="1:5" ht="12.75">
      <c r="A43" s="115" t="s">
        <v>203</v>
      </c>
      <c r="B43" s="141">
        <v>20</v>
      </c>
      <c r="C43" s="141">
        <v>32</v>
      </c>
      <c r="D43" s="237">
        <f t="shared" si="0"/>
        <v>0.0036384309266628764</v>
      </c>
      <c r="E43" s="115"/>
    </row>
    <row r="44" spans="1:5" ht="12.75">
      <c r="A44" s="115" t="s">
        <v>122</v>
      </c>
      <c r="B44" s="141">
        <v>18</v>
      </c>
      <c r="C44" s="141">
        <v>28</v>
      </c>
      <c r="D44" s="237">
        <f t="shared" si="0"/>
        <v>0.003183627060830017</v>
      </c>
      <c r="E44" s="115"/>
    </row>
    <row r="45" spans="1:5" ht="12.75">
      <c r="A45" s="115" t="s">
        <v>204</v>
      </c>
      <c r="B45" s="141">
        <v>30</v>
      </c>
      <c r="C45" s="141">
        <v>27</v>
      </c>
      <c r="D45" s="237">
        <f t="shared" si="0"/>
        <v>0.003069926094371802</v>
      </c>
      <c r="E45" s="115"/>
    </row>
    <row r="46" spans="1:5" ht="12.75">
      <c r="A46" s="115" t="s">
        <v>91</v>
      </c>
      <c r="B46" s="141">
        <v>23</v>
      </c>
      <c r="C46" s="141">
        <v>24</v>
      </c>
      <c r="D46" s="237">
        <f t="shared" si="0"/>
        <v>0.0027288231949971573</v>
      </c>
      <c r="E46" s="115"/>
    </row>
    <row r="47" spans="1:5" ht="12.75">
      <c r="A47" s="115" t="s">
        <v>110</v>
      </c>
      <c r="B47" s="141">
        <v>26</v>
      </c>
      <c r="C47" s="141">
        <v>21</v>
      </c>
      <c r="D47" s="237">
        <f t="shared" si="0"/>
        <v>0.002387720295622513</v>
      </c>
      <c r="E47" s="115"/>
    </row>
    <row r="48" spans="1:5" ht="12.75">
      <c r="A48" s="115" t="s">
        <v>125</v>
      </c>
      <c r="B48" s="141">
        <v>28</v>
      </c>
      <c r="C48" s="141">
        <v>19</v>
      </c>
      <c r="D48" s="237">
        <f t="shared" si="0"/>
        <v>0.002160318362706083</v>
      </c>
      <c r="E48" s="115"/>
    </row>
    <row r="49" spans="1:5" ht="12.75">
      <c r="A49" s="115" t="s">
        <v>205</v>
      </c>
      <c r="B49" s="141">
        <v>31</v>
      </c>
      <c r="C49" s="141">
        <v>18</v>
      </c>
      <c r="D49" s="237">
        <f t="shared" si="0"/>
        <v>0.002046617396247868</v>
      </c>
      <c r="E49" s="115"/>
    </row>
    <row r="50" spans="1:5" ht="12.75">
      <c r="A50" s="115" t="s">
        <v>96</v>
      </c>
      <c r="B50" s="141">
        <v>10</v>
      </c>
      <c r="C50" s="141">
        <v>17</v>
      </c>
      <c r="D50" s="237">
        <f t="shared" si="0"/>
        <v>0.0019329164297896533</v>
      </c>
      <c r="E50" s="115"/>
    </row>
    <row r="51" spans="1:5" ht="12.75">
      <c r="A51" s="115" t="s">
        <v>206</v>
      </c>
      <c r="B51" s="141">
        <v>13</v>
      </c>
      <c r="C51" s="141">
        <v>15</v>
      </c>
      <c r="D51" s="237">
        <f t="shared" si="0"/>
        <v>0.0017055144968732233</v>
      </c>
      <c r="E51" s="115"/>
    </row>
    <row r="52" spans="1:5" ht="12.75">
      <c r="A52" s="115" t="s">
        <v>207</v>
      </c>
      <c r="B52" s="141">
        <v>12</v>
      </c>
      <c r="C52" s="141">
        <v>15</v>
      </c>
      <c r="D52" s="237">
        <f t="shared" si="0"/>
        <v>0.0017055144968732233</v>
      </c>
      <c r="E52" s="115"/>
    </row>
    <row r="53" spans="1:5" ht="12.75">
      <c r="A53" s="115" t="s">
        <v>208</v>
      </c>
      <c r="B53" s="141">
        <f>B55-(SUM(B24:B52))</f>
        <v>195</v>
      </c>
      <c r="C53" s="141">
        <f>C55-(SUM(C24:C52))</f>
        <v>140</v>
      </c>
      <c r="D53" s="237">
        <f t="shared" si="0"/>
        <v>0.015918135304150087</v>
      </c>
      <c r="E53" s="115"/>
    </row>
    <row r="54" spans="1:5" ht="13.5">
      <c r="A54" s="238"/>
      <c r="B54" s="239"/>
      <c r="C54" s="238"/>
      <c r="D54" s="115"/>
      <c r="E54" s="115"/>
    </row>
    <row r="55" spans="1:5" ht="21.75" customHeight="1">
      <c r="A55" s="240" t="s">
        <v>209</v>
      </c>
      <c r="B55" s="241">
        <v>9683</v>
      </c>
      <c r="C55" s="241">
        <v>8795</v>
      </c>
      <c r="D55" s="242">
        <f>SUM(D24:D53)</f>
        <v>0.9999999999999998</v>
      </c>
      <c r="E55" s="115"/>
    </row>
    <row r="56" spans="1:5" ht="12.75">
      <c r="A56" s="153"/>
      <c r="B56" s="153"/>
      <c r="C56" s="153"/>
      <c r="D56" s="115"/>
      <c r="E56" s="115"/>
    </row>
    <row r="57" spans="1:5" ht="12.75">
      <c r="A57" s="115"/>
      <c r="B57" s="115"/>
      <c r="C57" s="115"/>
      <c r="D57" s="115"/>
      <c r="E57" s="115"/>
    </row>
    <row r="58" spans="1:5" ht="12.75">
      <c r="A58" s="115"/>
      <c r="B58" s="115"/>
      <c r="C58" s="115"/>
      <c r="D58" s="115"/>
      <c r="E58" s="115"/>
    </row>
    <row r="59" spans="1:5" ht="12.75">
      <c r="A59" s="120"/>
      <c r="B59" s="120"/>
      <c r="C59" s="120"/>
      <c r="D59" s="115"/>
      <c r="E59" s="115"/>
    </row>
    <row r="60" spans="1:5" ht="15">
      <c r="A60" s="221" t="s">
        <v>210</v>
      </c>
      <c r="B60" s="222"/>
      <c r="C60" s="222"/>
      <c r="D60" s="125"/>
      <c r="E60" s="115"/>
    </row>
    <row r="61" spans="1:5" ht="15">
      <c r="A61" s="233"/>
      <c r="B61" s="230"/>
      <c r="C61" s="230"/>
      <c r="D61" s="115"/>
      <c r="E61" s="115"/>
    </row>
    <row r="62" spans="1:5" ht="15.75">
      <c r="A62" s="234" t="s">
        <v>211</v>
      </c>
      <c r="B62" s="234">
        <v>2011</v>
      </c>
      <c r="C62" s="234">
        <v>2012</v>
      </c>
      <c r="D62" s="125"/>
      <c r="E62" s="115"/>
    </row>
    <row r="63" spans="1:5" ht="12.75">
      <c r="A63" s="127" t="s">
        <v>65</v>
      </c>
      <c r="B63" s="128">
        <v>6246</v>
      </c>
      <c r="C63" s="128">
        <v>6375</v>
      </c>
      <c r="D63" s="115"/>
      <c r="E63" s="115"/>
    </row>
    <row r="64" spans="1:5" ht="12.75">
      <c r="A64" s="115" t="s">
        <v>66</v>
      </c>
      <c r="B64" s="141">
        <v>381</v>
      </c>
      <c r="C64" s="141">
        <v>401</v>
      </c>
      <c r="D64" s="115"/>
      <c r="E64" s="115"/>
    </row>
    <row r="65" spans="1:5" ht="12.75">
      <c r="A65" s="115" t="s">
        <v>67</v>
      </c>
      <c r="B65" s="141">
        <v>429</v>
      </c>
      <c r="C65" s="141">
        <v>381</v>
      </c>
      <c r="D65" s="115"/>
      <c r="E65" s="115"/>
    </row>
    <row r="66" spans="1:5" ht="12.75">
      <c r="A66" s="115" t="s">
        <v>69</v>
      </c>
      <c r="B66" s="141">
        <v>156</v>
      </c>
      <c r="C66" s="141">
        <v>146</v>
      </c>
      <c r="D66" s="115"/>
      <c r="E66" s="115"/>
    </row>
    <row r="67" spans="1:5" ht="12.75">
      <c r="A67" s="115" t="s">
        <v>72</v>
      </c>
      <c r="B67" s="141">
        <v>520</v>
      </c>
      <c r="C67" s="141">
        <v>486</v>
      </c>
      <c r="D67" s="115"/>
      <c r="E67" s="115"/>
    </row>
    <row r="68" spans="1:5" ht="12.75">
      <c r="A68" s="115" t="s">
        <v>77</v>
      </c>
      <c r="B68" s="141">
        <v>1416</v>
      </c>
      <c r="C68" s="141">
        <v>472</v>
      </c>
      <c r="D68" s="115"/>
      <c r="E68" s="115"/>
    </row>
    <row r="69" spans="1:5" ht="12.75">
      <c r="A69" s="115" t="s">
        <v>78</v>
      </c>
      <c r="B69" s="141">
        <v>394</v>
      </c>
      <c r="C69" s="141">
        <v>390</v>
      </c>
      <c r="D69" s="115"/>
      <c r="E69" s="115"/>
    </row>
    <row r="70" spans="1:5" ht="12.75">
      <c r="A70" s="120" t="s">
        <v>74</v>
      </c>
      <c r="B70" s="212">
        <v>141</v>
      </c>
      <c r="C70" s="212">
        <v>144</v>
      </c>
      <c r="D70" s="115"/>
      <c r="E70" s="115"/>
    </row>
    <row r="71" spans="1:5" ht="12.75">
      <c r="A71" s="243" t="s">
        <v>137</v>
      </c>
      <c r="B71" s="244">
        <f>SUM(B63:B70)</f>
        <v>9683</v>
      </c>
      <c r="C71" s="244">
        <f>SUM(C63:C70)</f>
        <v>8795</v>
      </c>
      <c r="D71" s="125"/>
      <c r="E71" s="115"/>
    </row>
    <row r="72" spans="1:5" ht="12.75">
      <c r="A72" s="153"/>
      <c r="B72" s="216"/>
      <c r="C72" s="216"/>
      <c r="D72" s="115"/>
      <c r="E72" s="115"/>
    </row>
    <row r="73" spans="1:5" ht="12.75">
      <c r="A73" s="115"/>
      <c r="B73" s="141"/>
      <c r="C73" s="141"/>
      <c r="D73" s="115"/>
      <c r="E73" s="115"/>
    </row>
    <row r="74" spans="1:5" ht="12.75">
      <c r="A74" s="115"/>
      <c r="B74" s="141"/>
      <c r="C74" s="141"/>
      <c r="D74" s="115"/>
      <c r="E74" s="115"/>
    </row>
    <row r="75" spans="1:5" ht="12.75">
      <c r="A75" s="115"/>
      <c r="B75" s="141"/>
      <c r="C75" s="141"/>
      <c r="D75" s="115"/>
      <c r="E75" s="115"/>
    </row>
    <row r="76" spans="1:5" ht="12.75">
      <c r="A76" s="115"/>
      <c r="B76" s="141"/>
      <c r="C76" s="141"/>
      <c r="D76" s="115"/>
      <c r="E76" s="115"/>
    </row>
    <row r="77" spans="1:5" ht="12.75">
      <c r="A77" s="115"/>
      <c r="B77" s="141"/>
      <c r="C77" s="141"/>
      <c r="D77" s="115"/>
      <c r="E77" s="115"/>
    </row>
    <row r="78" spans="1:5" ht="12.75">
      <c r="A78" s="115"/>
      <c r="B78" s="141"/>
      <c r="C78" s="141"/>
      <c r="D78" s="115"/>
      <c r="E78" s="115"/>
    </row>
    <row r="79" spans="1:5" ht="12.75">
      <c r="A79" s="115"/>
      <c r="B79" s="141"/>
      <c r="C79" s="141"/>
      <c r="D79" s="115"/>
      <c r="E79" s="115"/>
    </row>
    <row r="80" spans="1:5" ht="12.75">
      <c r="A80" s="115"/>
      <c r="B80" s="141"/>
      <c r="C80" s="141"/>
      <c r="D80" s="115"/>
      <c r="E80" s="115"/>
    </row>
    <row r="81" spans="1:5" ht="12.75">
      <c r="A81" s="115"/>
      <c r="B81" s="141"/>
      <c r="C81" s="141"/>
      <c r="D81" s="115"/>
      <c r="E81" s="115"/>
    </row>
  </sheetData>
  <printOptions/>
  <pageMargins left="0.7086613774299622" right="0.7086613774299622" top="0.748031497001648" bottom="0.748031497001648" header="0.31496068835258484" footer="0.31496068835258484"/>
  <pageSetup firstPageNumber="1" useFirstPageNumber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1.390625" style="16" customWidth="1"/>
    <col min="2" max="2" width="19.296875" style="16" customWidth="1"/>
    <col min="3" max="3" width="23.59765625" style="16" customWidth="1"/>
    <col min="4" max="11" width="9.19921875" style="16" customWidth="1"/>
    <col min="12" max="13" width="10.19921875" style="16" customWidth="1"/>
    <col min="14" max="14" width="9.19921875" style="16" customWidth="1"/>
    <col min="15" max="256" width="10.296875" style="16" customWidth="1"/>
  </cols>
  <sheetData>
    <row r="1" spans="1:14" ht="15" customHeight="1">
      <c r="A1" s="3"/>
      <c r="B1" s="17" t="s">
        <v>35</v>
      </c>
      <c r="C1" s="17"/>
      <c r="D1" s="17"/>
      <c r="E1" s="17"/>
      <c r="F1" s="17"/>
      <c r="G1" s="17"/>
      <c r="H1" s="17"/>
      <c r="I1" s="17"/>
      <c r="J1" s="17"/>
      <c r="K1" s="17"/>
      <c r="L1" s="18"/>
      <c r="M1" s="18"/>
      <c r="N1" s="6"/>
    </row>
    <row r="2" spans="1:14" ht="12.75">
      <c r="A2" s="7"/>
      <c r="B2" s="2"/>
      <c r="C2" s="2"/>
      <c r="D2" s="19"/>
      <c r="E2" s="20"/>
      <c r="F2" s="20"/>
      <c r="G2" s="21"/>
      <c r="H2" s="21"/>
      <c r="I2" s="21"/>
      <c r="J2" s="21"/>
      <c r="K2" s="21"/>
      <c r="L2" s="21"/>
      <c r="M2" s="21"/>
      <c r="N2" s="8"/>
    </row>
    <row r="3" spans="1:14" ht="12.75">
      <c r="A3" s="23"/>
      <c r="B3" s="24" t="s">
        <v>36</v>
      </c>
      <c r="C3" s="24"/>
      <c r="D3" s="25">
        <v>2003</v>
      </c>
      <c r="E3" s="25">
        <v>2004</v>
      </c>
      <c r="F3" s="25">
        <v>2005</v>
      </c>
      <c r="G3" s="25">
        <v>2006</v>
      </c>
      <c r="H3" s="25">
        <v>2007</v>
      </c>
      <c r="I3" s="25">
        <v>2008</v>
      </c>
      <c r="J3" s="25">
        <v>2009</v>
      </c>
      <c r="K3" s="25">
        <v>2010</v>
      </c>
      <c r="L3" s="25">
        <v>2011</v>
      </c>
      <c r="M3" s="25">
        <v>2012</v>
      </c>
      <c r="N3" s="26"/>
    </row>
    <row r="4" spans="1:14" ht="12.75">
      <c r="A4" s="7"/>
      <c r="B4" s="9" t="s">
        <v>37</v>
      </c>
      <c r="C4" s="2" t="s">
        <v>38</v>
      </c>
      <c r="D4" s="27">
        <v>420</v>
      </c>
      <c r="E4" s="28">
        <v>440</v>
      </c>
      <c r="F4" s="29">
        <v>382</v>
      </c>
      <c r="G4" s="29">
        <f>277+63</f>
        <v>340</v>
      </c>
      <c r="H4" s="29">
        <v>322</v>
      </c>
      <c r="I4" s="29">
        <v>310</v>
      </c>
      <c r="J4" s="29">
        <f>109+135+64</f>
        <v>308</v>
      </c>
      <c r="K4" s="29">
        <v>293</v>
      </c>
      <c r="L4" s="29">
        <v>274</v>
      </c>
      <c r="M4" s="29">
        <v>237</v>
      </c>
      <c r="N4" s="8"/>
    </row>
    <row r="5" spans="1:14" ht="12.75">
      <c r="A5" s="7"/>
      <c r="B5" s="30"/>
      <c r="C5" s="31" t="s">
        <v>39</v>
      </c>
      <c r="D5" s="32">
        <v>329</v>
      </c>
      <c r="E5" s="33">
        <v>329</v>
      </c>
      <c r="F5" s="34">
        <v>318</v>
      </c>
      <c r="G5" s="34">
        <f>44+2+274</f>
        <v>320</v>
      </c>
      <c r="H5" s="34">
        <v>321</v>
      </c>
      <c r="I5" s="34">
        <v>307</v>
      </c>
      <c r="J5" s="34">
        <f>1+75+37+3+193</f>
        <v>309</v>
      </c>
      <c r="K5" s="34">
        <v>309</v>
      </c>
      <c r="L5" s="34">
        <v>304</v>
      </c>
      <c r="M5" s="34">
        <v>301</v>
      </c>
      <c r="N5" s="8"/>
    </row>
    <row r="6" spans="1:14" ht="12.75">
      <c r="A6" s="7"/>
      <c r="B6" s="35" t="s">
        <v>40</v>
      </c>
      <c r="C6" s="35"/>
      <c r="D6" s="36">
        <f aca="true" t="shared" si="0" ref="D6:K6">SUM(D4:D5)</f>
        <v>749</v>
      </c>
      <c r="E6" s="36">
        <f t="shared" si="0"/>
        <v>769</v>
      </c>
      <c r="F6" s="36">
        <f t="shared" si="0"/>
        <v>700</v>
      </c>
      <c r="G6" s="36">
        <f t="shared" si="0"/>
        <v>660</v>
      </c>
      <c r="H6" s="36">
        <f t="shared" si="0"/>
        <v>643</v>
      </c>
      <c r="I6" s="36">
        <f t="shared" si="0"/>
        <v>617</v>
      </c>
      <c r="J6" s="36">
        <f t="shared" si="0"/>
        <v>617</v>
      </c>
      <c r="K6" s="36">
        <f t="shared" si="0"/>
        <v>602</v>
      </c>
      <c r="L6" s="36">
        <f>SUM(L4:L5)</f>
        <v>578</v>
      </c>
      <c r="M6" s="36">
        <f>SUM(M4:M5)</f>
        <v>538</v>
      </c>
      <c r="N6" s="8"/>
    </row>
    <row r="7" spans="1:14" ht="12.75">
      <c r="A7" s="7"/>
      <c r="B7" s="9"/>
      <c r="C7" s="9"/>
      <c r="D7" s="37"/>
      <c r="E7" s="37"/>
      <c r="F7" s="37"/>
      <c r="G7" s="37"/>
      <c r="H7" s="37"/>
      <c r="I7" s="37"/>
      <c r="J7" s="37"/>
      <c r="K7" s="37"/>
      <c r="L7" s="37"/>
      <c r="M7" s="37"/>
      <c r="N7" s="8"/>
    </row>
    <row r="8" spans="1:14" ht="25.5">
      <c r="A8" s="7"/>
      <c r="B8" s="38" t="s">
        <v>41</v>
      </c>
      <c r="C8" s="2" t="s">
        <v>42</v>
      </c>
      <c r="D8" s="19">
        <v>18</v>
      </c>
      <c r="E8" s="29">
        <v>20</v>
      </c>
      <c r="F8" s="29">
        <v>20</v>
      </c>
      <c r="G8" s="29">
        <v>20</v>
      </c>
      <c r="H8" s="29">
        <v>20</v>
      </c>
      <c r="I8" s="29">
        <v>20</v>
      </c>
      <c r="J8" s="29">
        <v>20</v>
      </c>
      <c r="K8" s="29">
        <v>20</v>
      </c>
      <c r="L8" s="29">
        <v>18</v>
      </c>
      <c r="M8" s="29">
        <v>18</v>
      </c>
      <c r="N8" s="39"/>
    </row>
    <row r="9" spans="1:14" ht="12.75">
      <c r="A9" s="7"/>
      <c r="B9" s="2"/>
      <c r="C9" s="2" t="s">
        <v>43</v>
      </c>
      <c r="D9" s="19">
        <v>4</v>
      </c>
      <c r="E9" s="29">
        <v>4</v>
      </c>
      <c r="F9" s="29">
        <v>2</v>
      </c>
      <c r="G9" s="29">
        <v>2</v>
      </c>
      <c r="H9" s="29"/>
      <c r="I9" s="29"/>
      <c r="J9" s="29"/>
      <c r="K9" s="29"/>
      <c r="L9" s="29"/>
      <c r="M9" s="29"/>
      <c r="N9" s="39"/>
    </row>
    <row r="10" spans="1:14" ht="12.75">
      <c r="A10" s="7"/>
      <c r="B10" s="2"/>
      <c r="C10" s="2" t="s">
        <v>44</v>
      </c>
      <c r="D10" s="19">
        <v>8</v>
      </c>
      <c r="E10" s="29">
        <v>8</v>
      </c>
      <c r="F10" s="29">
        <v>8</v>
      </c>
      <c r="G10" s="29">
        <v>8</v>
      </c>
      <c r="H10" s="29">
        <v>8</v>
      </c>
      <c r="I10" s="29">
        <v>8</v>
      </c>
      <c r="J10" s="29">
        <v>8</v>
      </c>
      <c r="K10" s="29">
        <v>8</v>
      </c>
      <c r="L10" s="29">
        <v>8</v>
      </c>
      <c r="M10" s="29">
        <v>8</v>
      </c>
      <c r="N10" s="39"/>
    </row>
    <row r="11" spans="1:14" ht="12.75">
      <c r="A11" s="7"/>
      <c r="B11" s="2"/>
      <c r="C11" s="31" t="s">
        <v>45</v>
      </c>
      <c r="D11" s="40"/>
      <c r="E11" s="34">
        <v>1</v>
      </c>
      <c r="F11" s="34">
        <v>1</v>
      </c>
      <c r="G11" s="34"/>
      <c r="H11" s="34"/>
      <c r="I11" s="34"/>
      <c r="J11" s="34"/>
      <c r="K11" s="34"/>
      <c r="L11" s="34"/>
      <c r="M11" s="34"/>
      <c r="N11" s="39"/>
    </row>
    <row r="12" spans="1:14" ht="12.75">
      <c r="A12" s="41"/>
      <c r="B12" s="9"/>
      <c r="C12" s="35" t="s">
        <v>46</v>
      </c>
      <c r="D12" s="42">
        <f>SUM(D8:D11)</f>
        <v>30</v>
      </c>
      <c r="E12" s="42">
        <f>SUM(E8:E11)</f>
        <v>33</v>
      </c>
      <c r="F12" s="42">
        <f>SUM(F8:F11)</f>
        <v>31</v>
      </c>
      <c r="G12" s="42">
        <f aca="true" t="shared" si="1" ref="G12:M12">SUM(G8:G10)</f>
        <v>30</v>
      </c>
      <c r="H12" s="42">
        <f t="shared" si="1"/>
        <v>28</v>
      </c>
      <c r="I12" s="42">
        <f t="shared" si="1"/>
        <v>28</v>
      </c>
      <c r="J12" s="42">
        <f t="shared" si="1"/>
        <v>28</v>
      </c>
      <c r="K12" s="42">
        <f t="shared" si="1"/>
        <v>28</v>
      </c>
      <c r="L12" s="42">
        <f t="shared" si="1"/>
        <v>26</v>
      </c>
      <c r="M12" s="42">
        <f t="shared" si="1"/>
        <v>26</v>
      </c>
      <c r="N12" s="43"/>
    </row>
    <row r="13" spans="1:14" ht="12.75">
      <c r="A13" s="7"/>
      <c r="B13" s="2"/>
      <c r="C13" s="2"/>
      <c r="D13" s="19"/>
      <c r="E13" s="29"/>
      <c r="F13" s="20"/>
      <c r="G13" s="21"/>
      <c r="H13" s="21"/>
      <c r="I13" s="21"/>
      <c r="J13" s="21"/>
      <c r="K13" s="21"/>
      <c r="L13" s="21"/>
      <c r="M13" s="21"/>
      <c r="N13" s="8"/>
    </row>
    <row r="14" spans="1:14" ht="25.5">
      <c r="A14" s="7"/>
      <c r="B14" s="38" t="s">
        <v>47</v>
      </c>
      <c r="C14" s="2" t="s">
        <v>48</v>
      </c>
      <c r="D14" s="19">
        <v>82</v>
      </c>
      <c r="E14" s="29">
        <v>112</v>
      </c>
      <c r="F14" s="29">
        <v>123</v>
      </c>
      <c r="G14" s="29">
        <v>126</v>
      </c>
      <c r="H14" s="29">
        <v>118</v>
      </c>
      <c r="I14" s="29">
        <v>103</v>
      </c>
      <c r="J14" s="29">
        <v>104</v>
      </c>
      <c r="K14" s="29">
        <v>102</v>
      </c>
      <c r="L14" s="29">
        <v>100</v>
      </c>
      <c r="M14" s="29">
        <v>104</v>
      </c>
      <c r="N14" s="39"/>
    </row>
    <row r="15" spans="1:14" ht="12.75">
      <c r="A15" s="7"/>
      <c r="B15" s="9"/>
      <c r="C15" s="31" t="s">
        <v>49</v>
      </c>
      <c r="D15" s="40">
        <v>136</v>
      </c>
      <c r="E15" s="34">
        <v>161</v>
      </c>
      <c r="F15" s="34">
        <v>145</v>
      </c>
      <c r="G15" s="34">
        <v>126</v>
      </c>
      <c r="H15" s="34">
        <v>115</v>
      </c>
      <c r="I15" s="34">
        <v>126</v>
      </c>
      <c r="J15" s="34">
        <v>123</v>
      </c>
      <c r="K15" s="34">
        <v>124</v>
      </c>
      <c r="L15" s="34">
        <v>121</v>
      </c>
      <c r="M15" s="34">
        <v>110</v>
      </c>
      <c r="N15" s="39"/>
    </row>
    <row r="16" spans="1:14" ht="12.75">
      <c r="A16" s="7"/>
      <c r="B16" s="9"/>
      <c r="C16" s="35" t="s">
        <v>50</v>
      </c>
      <c r="D16" s="42">
        <f>SUM(D14:D15)</f>
        <v>218</v>
      </c>
      <c r="E16" s="42">
        <f aca="true" t="shared" si="2" ref="E16:K16">SUM(E14:E15)</f>
        <v>273</v>
      </c>
      <c r="F16" s="42">
        <f t="shared" si="2"/>
        <v>268</v>
      </c>
      <c r="G16" s="42">
        <f t="shared" si="2"/>
        <v>252</v>
      </c>
      <c r="H16" s="42">
        <f t="shared" si="2"/>
        <v>233</v>
      </c>
      <c r="I16" s="42">
        <f t="shared" si="2"/>
        <v>229</v>
      </c>
      <c r="J16" s="42">
        <f t="shared" si="2"/>
        <v>227</v>
      </c>
      <c r="K16" s="42">
        <f t="shared" si="2"/>
        <v>226</v>
      </c>
      <c r="L16" s="42">
        <f>SUM(L14:L15)</f>
        <v>221</v>
      </c>
      <c r="M16" s="42">
        <f>SUM(M14:M15)</f>
        <v>214</v>
      </c>
      <c r="N16" s="39"/>
    </row>
    <row r="17" spans="1:14" ht="12.75">
      <c r="A17" s="7"/>
      <c r="B17" s="2"/>
      <c r="C17" s="9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39"/>
    </row>
    <row r="18" spans="1:14" ht="12.75">
      <c r="A18" s="7"/>
      <c r="B18" s="9" t="s">
        <v>51</v>
      </c>
      <c r="C18" s="2"/>
      <c r="D18" s="19">
        <v>6</v>
      </c>
      <c r="E18" s="19">
        <v>8</v>
      </c>
      <c r="F18" s="19">
        <v>9</v>
      </c>
      <c r="G18" s="19">
        <v>6</v>
      </c>
      <c r="H18" s="19">
        <v>5</v>
      </c>
      <c r="I18" s="19">
        <v>5</v>
      </c>
      <c r="J18" s="19">
        <v>5</v>
      </c>
      <c r="K18" s="19">
        <v>6</v>
      </c>
      <c r="L18" s="19">
        <v>6</v>
      </c>
      <c r="M18" s="19">
        <v>6</v>
      </c>
      <c r="N18" s="43"/>
    </row>
    <row r="19" spans="1:14" ht="12.75">
      <c r="A19" s="7"/>
      <c r="B19" s="30"/>
      <c r="C19" s="30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3"/>
    </row>
    <row r="20" spans="1:14" ht="12.75">
      <c r="A20" s="7"/>
      <c r="B20" s="35" t="s">
        <v>52</v>
      </c>
      <c r="C20" s="35"/>
      <c r="D20" s="42">
        <f>D16+D12+D18</f>
        <v>254</v>
      </c>
      <c r="E20" s="42">
        <f aca="true" t="shared" si="3" ref="E20:L20">E16+E12+E18</f>
        <v>314</v>
      </c>
      <c r="F20" s="42">
        <f t="shared" si="3"/>
        <v>308</v>
      </c>
      <c r="G20" s="42">
        <f t="shared" si="3"/>
        <v>288</v>
      </c>
      <c r="H20" s="42">
        <f t="shared" si="3"/>
        <v>266</v>
      </c>
      <c r="I20" s="42">
        <f t="shared" si="3"/>
        <v>262</v>
      </c>
      <c r="J20" s="42">
        <f t="shared" si="3"/>
        <v>260</v>
      </c>
      <c r="K20" s="42">
        <f t="shared" si="3"/>
        <v>260</v>
      </c>
      <c r="L20" s="42">
        <f t="shared" si="3"/>
        <v>253</v>
      </c>
      <c r="M20" s="42">
        <f>M16+M12+M18</f>
        <v>246</v>
      </c>
      <c r="N20" s="43"/>
    </row>
    <row r="21" spans="1:14" ht="13.5">
      <c r="A21" s="7"/>
      <c r="B21" s="46"/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3"/>
    </row>
    <row r="22" spans="1:14" ht="12.75">
      <c r="A22" s="7"/>
      <c r="B22" s="49" t="s">
        <v>53</v>
      </c>
      <c r="C22" s="49"/>
      <c r="D22" s="50">
        <f>D20+D6</f>
        <v>1003</v>
      </c>
      <c r="E22" s="50">
        <f aca="true" t="shared" si="4" ref="E22:M22">E20+E6</f>
        <v>1083</v>
      </c>
      <c r="F22" s="50">
        <f t="shared" si="4"/>
        <v>1008</v>
      </c>
      <c r="G22" s="50">
        <f t="shared" si="4"/>
        <v>948</v>
      </c>
      <c r="H22" s="50">
        <f t="shared" si="4"/>
        <v>909</v>
      </c>
      <c r="I22" s="50">
        <f t="shared" si="4"/>
        <v>879</v>
      </c>
      <c r="J22" s="50">
        <f t="shared" si="4"/>
        <v>877</v>
      </c>
      <c r="K22" s="50">
        <f t="shared" si="4"/>
        <v>862</v>
      </c>
      <c r="L22" s="50">
        <f t="shared" si="4"/>
        <v>831</v>
      </c>
      <c r="M22" s="50">
        <f t="shared" si="4"/>
        <v>784</v>
      </c>
      <c r="N22" s="39"/>
    </row>
    <row r="23" spans="1:14" ht="12.75">
      <c r="A23" s="7"/>
      <c r="B23" s="51"/>
      <c r="C23" s="9"/>
      <c r="D23" s="19"/>
      <c r="E23" s="52"/>
      <c r="F23" s="52"/>
      <c r="G23" s="21"/>
      <c r="H23" s="21"/>
      <c r="I23" s="21"/>
      <c r="J23" s="21"/>
      <c r="K23" s="21"/>
      <c r="L23" s="21"/>
      <c r="M23" s="21"/>
      <c r="N23" s="39"/>
    </row>
    <row r="24" spans="1:14" ht="12.75">
      <c r="A24" s="7"/>
      <c r="B24" s="51"/>
      <c r="C24" s="9"/>
      <c r="D24" s="19"/>
      <c r="E24" s="52"/>
      <c r="F24" s="52"/>
      <c r="G24" s="21"/>
      <c r="H24" s="21"/>
      <c r="I24" s="21"/>
      <c r="J24" s="21"/>
      <c r="K24" s="21"/>
      <c r="L24" s="21"/>
      <c r="M24" s="21"/>
      <c r="N24" s="39"/>
    </row>
    <row r="25" spans="1:14" ht="12.75">
      <c r="A25" s="7"/>
      <c r="B25" s="51"/>
      <c r="C25" s="9"/>
      <c r="D25" s="19"/>
      <c r="E25" s="52"/>
      <c r="F25" s="52"/>
      <c r="G25" s="21"/>
      <c r="H25" s="21"/>
      <c r="I25" s="21"/>
      <c r="J25" s="21"/>
      <c r="K25" s="21"/>
      <c r="L25" s="21"/>
      <c r="M25" s="21"/>
      <c r="N25" s="39"/>
    </row>
    <row r="26" spans="1:14" ht="12.75">
      <c r="A26" s="13"/>
      <c r="B26" s="53"/>
      <c r="C26" s="53"/>
      <c r="D26" s="54"/>
      <c r="E26" s="55"/>
      <c r="F26" s="55"/>
      <c r="G26" s="56"/>
      <c r="H26" s="56"/>
      <c r="I26" s="56"/>
      <c r="J26" s="56"/>
      <c r="K26" s="56"/>
      <c r="L26" s="57"/>
      <c r="M26" s="57"/>
      <c r="N26" s="58"/>
    </row>
  </sheetData>
  <mergeCells count="3">
    <mergeCell ref="B1:K1"/>
    <mergeCell ref="B3:C3"/>
    <mergeCell ref="B22:C22"/>
  </mergeCells>
  <printOptions/>
  <pageMargins left="0.7086613774299622" right="0.7086613774299622" top="0.748031497001648" bottom="0.748031497001648" header="0.31496068835258484" footer="0.31496068835258484"/>
  <pageSetup firstPageNumber="1" useFirstPageNumber="1" orientation="landscape" paperSize="9" scale="7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1.390625" style="59" customWidth="1"/>
    <col min="2" max="2" width="20" style="59" customWidth="1"/>
    <col min="3" max="3" width="23.59765625" style="59" customWidth="1"/>
    <col min="4" max="13" width="9.19921875" style="59" customWidth="1"/>
    <col min="14" max="256" width="10.296875" style="59" customWidth="1"/>
  </cols>
  <sheetData>
    <row r="1" spans="1:14" ht="15" customHeight="1">
      <c r="A1" s="3"/>
      <c r="B1" s="17" t="s">
        <v>54</v>
      </c>
      <c r="C1" s="17"/>
      <c r="D1" s="17"/>
      <c r="E1" s="17"/>
      <c r="F1" s="17"/>
      <c r="G1" s="17"/>
      <c r="H1" s="17"/>
      <c r="I1" s="17"/>
      <c r="J1" s="17"/>
      <c r="K1" s="17"/>
      <c r="L1" s="5"/>
      <c r="M1" s="5"/>
      <c r="N1" s="6"/>
    </row>
    <row r="2" spans="1:14" ht="12.75">
      <c r="A2" s="7"/>
      <c r="B2" s="2"/>
      <c r="C2" s="2"/>
      <c r="D2" s="19"/>
      <c r="E2" s="20"/>
      <c r="F2" s="20"/>
      <c r="G2" s="21"/>
      <c r="H2" s="21"/>
      <c r="I2" s="21"/>
      <c r="J2" s="21"/>
      <c r="K2" s="21"/>
      <c r="L2" s="2"/>
      <c r="M2" s="2"/>
      <c r="N2" s="8"/>
    </row>
    <row r="3" spans="1:14" ht="26.25">
      <c r="A3" s="7"/>
      <c r="B3" s="60" t="s">
        <v>36</v>
      </c>
      <c r="C3" s="60"/>
      <c r="D3" s="61">
        <v>2003</v>
      </c>
      <c r="E3" s="61">
        <v>2004</v>
      </c>
      <c r="F3" s="61">
        <v>2005</v>
      </c>
      <c r="G3" s="61">
        <v>2006</v>
      </c>
      <c r="H3" s="61">
        <v>2007</v>
      </c>
      <c r="I3" s="61">
        <v>2008</v>
      </c>
      <c r="J3" s="61">
        <v>2009</v>
      </c>
      <c r="K3" s="61">
        <v>2010</v>
      </c>
      <c r="L3" s="61">
        <v>2011</v>
      </c>
      <c r="M3" s="61">
        <v>2012</v>
      </c>
      <c r="N3" s="62" t="s">
        <v>55</v>
      </c>
    </row>
    <row r="4" spans="1:14" ht="12.75">
      <c r="A4" s="7"/>
      <c r="B4" s="63" t="s">
        <v>37</v>
      </c>
      <c r="C4" s="64" t="s">
        <v>38</v>
      </c>
      <c r="D4" s="65">
        <v>4082</v>
      </c>
      <c r="E4" s="65">
        <v>3570</v>
      </c>
      <c r="F4" s="65">
        <v>2434</v>
      </c>
      <c r="G4" s="65">
        <f>1177+724</f>
        <v>1901</v>
      </c>
      <c r="H4" s="65">
        <v>2472</v>
      </c>
      <c r="I4" s="65">
        <v>2260</v>
      </c>
      <c r="J4" s="65">
        <v>1876</v>
      </c>
      <c r="K4" s="65">
        <v>1981</v>
      </c>
      <c r="L4" s="65">
        <v>1636</v>
      </c>
      <c r="M4" s="65">
        <v>1352</v>
      </c>
      <c r="N4" s="66">
        <f>(M4-L4)/L4</f>
        <v>-0.17359413202933985</v>
      </c>
    </row>
    <row r="5" spans="1:14" ht="12.75">
      <c r="A5" s="7"/>
      <c r="B5" s="30"/>
      <c r="C5" s="31" t="s">
        <v>39</v>
      </c>
      <c r="D5" s="67">
        <v>13187</v>
      </c>
      <c r="E5" s="67">
        <v>11722</v>
      </c>
      <c r="F5" s="67">
        <v>9238</v>
      </c>
      <c r="G5" s="67">
        <f>756+7042+2</f>
        <v>7800</v>
      </c>
      <c r="H5" s="67">
        <v>9250</v>
      </c>
      <c r="I5" s="67">
        <v>8960</v>
      </c>
      <c r="J5" s="67">
        <v>9236</v>
      </c>
      <c r="K5" s="67">
        <v>9627</v>
      </c>
      <c r="L5" s="67">
        <v>9471</v>
      </c>
      <c r="M5" s="67">
        <v>9481</v>
      </c>
      <c r="N5" s="68">
        <f aca="true" t="shared" si="0" ref="N5:N22">(M5-L5)/L5</f>
        <v>0.0010558547143912998</v>
      </c>
    </row>
    <row r="6" spans="1:14" ht="12.75">
      <c r="A6" s="7"/>
      <c r="B6" s="35" t="s">
        <v>40</v>
      </c>
      <c r="C6" s="35"/>
      <c r="D6" s="69">
        <f aca="true" t="shared" si="1" ref="D6:K6">SUM(D4:D5)</f>
        <v>17269</v>
      </c>
      <c r="E6" s="69">
        <f t="shared" si="1"/>
        <v>15292</v>
      </c>
      <c r="F6" s="69">
        <f t="shared" si="1"/>
        <v>11672</v>
      </c>
      <c r="G6" s="69">
        <f t="shared" si="1"/>
        <v>9701</v>
      </c>
      <c r="H6" s="69">
        <f t="shared" si="1"/>
        <v>11722</v>
      </c>
      <c r="I6" s="69">
        <f t="shared" si="1"/>
        <v>11220</v>
      </c>
      <c r="J6" s="69">
        <f t="shared" si="1"/>
        <v>11112</v>
      </c>
      <c r="K6" s="69">
        <f t="shared" si="1"/>
        <v>11608</v>
      </c>
      <c r="L6" s="69">
        <f>SUM(L4:L5)</f>
        <v>11107</v>
      </c>
      <c r="M6" s="69">
        <f>SUM(M4:M5)</f>
        <v>10833</v>
      </c>
      <c r="N6" s="70">
        <f t="shared" si="0"/>
        <v>-0.024669127577203565</v>
      </c>
    </row>
    <row r="7" spans="1:14" ht="12.75">
      <c r="A7" s="7"/>
      <c r="B7" s="9"/>
      <c r="C7" s="9"/>
      <c r="D7" s="71"/>
      <c r="E7" s="71"/>
      <c r="F7" s="71"/>
      <c r="G7" s="71"/>
      <c r="H7" s="71"/>
      <c r="I7" s="71"/>
      <c r="J7" s="71"/>
      <c r="K7" s="71"/>
      <c r="L7" s="71"/>
      <c r="M7" s="71"/>
      <c r="N7" s="68"/>
    </row>
    <row r="8" spans="1:14" ht="25.5">
      <c r="A8" s="7"/>
      <c r="B8" s="38" t="s">
        <v>41</v>
      </c>
      <c r="C8" s="2" t="s">
        <v>42</v>
      </c>
      <c r="D8" s="72">
        <v>8187</v>
      </c>
      <c r="E8" s="72">
        <v>9325</v>
      </c>
      <c r="F8" s="72">
        <v>8435</v>
      </c>
      <c r="G8" s="72">
        <v>7204</v>
      </c>
      <c r="H8" s="72">
        <v>6645</v>
      </c>
      <c r="I8" s="72">
        <v>6136</v>
      </c>
      <c r="J8" s="72">
        <v>6462</v>
      </c>
      <c r="K8" s="72">
        <v>7423</v>
      </c>
      <c r="L8" s="72">
        <v>7598</v>
      </c>
      <c r="M8" s="72">
        <v>7691</v>
      </c>
      <c r="N8" s="68">
        <f t="shared" si="0"/>
        <v>0.012240063174519611</v>
      </c>
    </row>
    <row r="9" spans="1:14" ht="12.75">
      <c r="A9" s="7"/>
      <c r="B9" s="2"/>
      <c r="C9" s="2" t="s">
        <v>43</v>
      </c>
      <c r="D9" s="72">
        <v>310</v>
      </c>
      <c r="E9" s="72">
        <v>380</v>
      </c>
      <c r="F9" s="72">
        <v>312</v>
      </c>
      <c r="G9" s="72">
        <v>229</v>
      </c>
      <c r="H9" s="72"/>
      <c r="I9" s="72"/>
      <c r="J9" s="72"/>
      <c r="K9" s="72"/>
      <c r="L9" s="72"/>
      <c r="M9" s="72"/>
      <c r="N9" s="68"/>
    </row>
    <row r="10" spans="1:14" ht="12.75">
      <c r="A10" s="7"/>
      <c r="B10" s="2"/>
      <c r="C10" s="2" t="s">
        <v>44</v>
      </c>
      <c r="D10" s="72">
        <v>16141</v>
      </c>
      <c r="E10" s="72">
        <v>22947</v>
      </c>
      <c r="F10" s="72">
        <v>23695</v>
      </c>
      <c r="G10" s="72">
        <v>21199</v>
      </c>
      <c r="H10" s="72">
        <v>17847</v>
      </c>
      <c r="I10" s="72">
        <v>14872</v>
      </c>
      <c r="J10" s="72">
        <v>14939</v>
      </c>
      <c r="K10" s="72">
        <v>15505</v>
      </c>
      <c r="L10" s="72">
        <v>15022</v>
      </c>
      <c r="M10" s="72">
        <v>15120</v>
      </c>
      <c r="N10" s="68">
        <f t="shared" si="0"/>
        <v>0.0065237651444548</v>
      </c>
    </row>
    <row r="11" spans="1:14" ht="12.75">
      <c r="A11" s="7"/>
      <c r="B11" s="2"/>
      <c r="C11" s="31" t="s">
        <v>45</v>
      </c>
      <c r="D11" s="67">
        <v>2</v>
      </c>
      <c r="E11" s="67">
        <v>2</v>
      </c>
      <c r="F11" s="67">
        <v>8</v>
      </c>
      <c r="G11" s="67"/>
      <c r="H11" s="67"/>
      <c r="I11" s="67"/>
      <c r="J11" s="67"/>
      <c r="K11" s="67"/>
      <c r="L11" s="67"/>
      <c r="M11" s="67"/>
      <c r="N11" s="68"/>
    </row>
    <row r="12" spans="1:14" ht="12.75">
      <c r="A12" s="7"/>
      <c r="B12" s="9"/>
      <c r="C12" s="35" t="s">
        <v>46</v>
      </c>
      <c r="D12" s="69">
        <f>SUM(D8:D11)</f>
        <v>24640</v>
      </c>
      <c r="E12" s="69">
        <f>SUM(E8:E11)</f>
        <v>32654</v>
      </c>
      <c r="F12" s="69">
        <f>SUM(F8:F11)</f>
        <v>32450</v>
      </c>
      <c r="G12" s="69">
        <f aca="true" t="shared" si="2" ref="G12:M12">SUM(G8:G10)</f>
        <v>28632</v>
      </c>
      <c r="H12" s="69">
        <f t="shared" si="2"/>
        <v>24492</v>
      </c>
      <c r="I12" s="69">
        <f t="shared" si="2"/>
        <v>21008</v>
      </c>
      <c r="J12" s="69">
        <f t="shared" si="2"/>
        <v>21401</v>
      </c>
      <c r="K12" s="69">
        <f t="shared" si="2"/>
        <v>22928</v>
      </c>
      <c r="L12" s="69">
        <f t="shared" si="2"/>
        <v>22620</v>
      </c>
      <c r="M12" s="69">
        <f t="shared" si="2"/>
        <v>22811</v>
      </c>
      <c r="N12" s="70">
        <f t="shared" si="0"/>
        <v>0.008443854995579134</v>
      </c>
    </row>
    <row r="13" spans="1:14" ht="12.75">
      <c r="A13" s="7"/>
      <c r="B13" s="2"/>
      <c r="C13" s="2"/>
      <c r="D13" s="72"/>
      <c r="E13" s="72"/>
      <c r="F13" s="72"/>
      <c r="G13" s="73"/>
      <c r="H13" s="73"/>
      <c r="I13" s="73"/>
      <c r="J13" s="73"/>
      <c r="K13" s="73"/>
      <c r="L13" s="73"/>
      <c r="M13" s="73"/>
      <c r="N13" s="68"/>
    </row>
    <row r="14" spans="1:14" ht="25.5">
      <c r="A14" s="7"/>
      <c r="B14" s="38" t="s">
        <v>47</v>
      </c>
      <c r="C14" s="2" t="s">
        <v>48</v>
      </c>
      <c r="D14" s="72">
        <f>6568+31</f>
        <v>6599</v>
      </c>
      <c r="E14" s="72">
        <f>6253+6</f>
        <v>6259</v>
      </c>
      <c r="F14" s="72">
        <f>6227+13</f>
        <v>6240</v>
      </c>
      <c r="G14" s="72">
        <f>5222+14</f>
        <v>5236</v>
      </c>
      <c r="H14" s="72">
        <f>4719+16</f>
        <v>4735</v>
      </c>
      <c r="I14" s="72">
        <f>4944+16</f>
        <v>4960</v>
      </c>
      <c r="J14" s="72">
        <f>6295+15</f>
        <v>6310</v>
      </c>
      <c r="K14" s="72">
        <f>6623+12</f>
        <v>6635</v>
      </c>
      <c r="L14" s="72">
        <f>7416+14</f>
        <v>7430</v>
      </c>
      <c r="M14" s="72">
        <v>8268</v>
      </c>
      <c r="N14" s="68">
        <f t="shared" si="0"/>
        <v>0.11278600269179004</v>
      </c>
    </row>
    <row r="15" spans="1:14" ht="12.75">
      <c r="A15" s="7"/>
      <c r="B15" s="9"/>
      <c r="C15" s="31" t="s">
        <v>49</v>
      </c>
      <c r="D15" s="67">
        <v>16230</v>
      </c>
      <c r="E15" s="67">
        <v>16811</v>
      </c>
      <c r="F15" s="67">
        <v>13217</v>
      </c>
      <c r="G15" s="67">
        <v>12650</v>
      </c>
      <c r="H15" s="67">
        <v>13444</v>
      </c>
      <c r="I15" s="67">
        <v>11922</v>
      </c>
      <c r="J15" s="67">
        <v>13957</v>
      </c>
      <c r="K15" s="67">
        <v>15237</v>
      </c>
      <c r="L15" s="67">
        <v>17418</v>
      </c>
      <c r="M15" s="67">
        <v>15855</v>
      </c>
      <c r="N15" s="68">
        <f t="shared" si="0"/>
        <v>-0.08973475714777816</v>
      </c>
    </row>
    <row r="16" spans="1:14" ht="12.75">
      <c r="A16" s="7"/>
      <c r="B16" s="9"/>
      <c r="C16" s="35" t="s">
        <v>50</v>
      </c>
      <c r="D16" s="69">
        <f>SUM(D14:D15)</f>
        <v>22829</v>
      </c>
      <c r="E16" s="69">
        <f aca="true" t="shared" si="3" ref="E16:K16">SUM(E14:E15)</f>
        <v>23070</v>
      </c>
      <c r="F16" s="69">
        <f t="shared" si="3"/>
        <v>19457</v>
      </c>
      <c r="G16" s="69">
        <f t="shared" si="3"/>
        <v>17886</v>
      </c>
      <c r="H16" s="69">
        <f t="shared" si="3"/>
        <v>18179</v>
      </c>
      <c r="I16" s="69">
        <f t="shared" si="3"/>
        <v>16882</v>
      </c>
      <c r="J16" s="69">
        <f t="shared" si="3"/>
        <v>20267</v>
      </c>
      <c r="K16" s="69">
        <f t="shared" si="3"/>
        <v>21872</v>
      </c>
      <c r="L16" s="69">
        <f>SUM(L14:L15)</f>
        <v>24848</v>
      </c>
      <c r="M16" s="69">
        <f>SUM(M14:M15)</f>
        <v>24123</v>
      </c>
      <c r="N16" s="70">
        <f t="shared" si="0"/>
        <v>-0.02917739858338699</v>
      </c>
    </row>
    <row r="17" spans="1:14" ht="12.75">
      <c r="A17" s="7"/>
      <c r="B17" s="2"/>
      <c r="C17" s="9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68"/>
    </row>
    <row r="18" spans="1:14" ht="12.75">
      <c r="A18" s="7"/>
      <c r="B18" s="9" t="s">
        <v>51</v>
      </c>
      <c r="C18" s="2"/>
      <c r="D18" s="72">
        <v>1831</v>
      </c>
      <c r="E18" s="72">
        <v>997</v>
      </c>
      <c r="F18" s="72">
        <v>739</v>
      </c>
      <c r="G18" s="72">
        <v>852</v>
      </c>
      <c r="H18" s="72">
        <v>981</v>
      </c>
      <c r="I18" s="72">
        <v>1283</v>
      </c>
      <c r="J18" s="72">
        <v>1516</v>
      </c>
      <c r="K18" s="72">
        <v>1629</v>
      </c>
      <c r="L18" s="72">
        <v>2183</v>
      </c>
      <c r="M18" s="72">
        <v>2197</v>
      </c>
      <c r="N18" s="68">
        <f t="shared" si="0"/>
        <v>0.00641319285387082</v>
      </c>
    </row>
    <row r="19" spans="1:14" ht="12.75">
      <c r="A19" s="7"/>
      <c r="B19" s="30"/>
      <c r="C19" s="30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68"/>
    </row>
    <row r="20" spans="1:14" ht="12.75">
      <c r="A20" s="7"/>
      <c r="B20" s="35" t="s">
        <v>52</v>
      </c>
      <c r="C20" s="35"/>
      <c r="D20" s="69">
        <f>D18+D16+D12</f>
        <v>49300</v>
      </c>
      <c r="E20" s="69">
        <f aca="true" t="shared" si="4" ref="E20:M20">E18+E16+E12</f>
        <v>56721</v>
      </c>
      <c r="F20" s="69">
        <f t="shared" si="4"/>
        <v>52646</v>
      </c>
      <c r="G20" s="69">
        <f t="shared" si="4"/>
        <v>47370</v>
      </c>
      <c r="H20" s="69">
        <f t="shared" si="4"/>
        <v>43652</v>
      </c>
      <c r="I20" s="69">
        <f t="shared" si="4"/>
        <v>39173</v>
      </c>
      <c r="J20" s="69">
        <f t="shared" si="4"/>
        <v>43184</v>
      </c>
      <c r="K20" s="69">
        <f t="shared" si="4"/>
        <v>46429</v>
      </c>
      <c r="L20" s="69">
        <f t="shared" si="4"/>
        <v>49651</v>
      </c>
      <c r="M20" s="69">
        <f t="shared" si="4"/>
        <v>49131</v>
      </c>
      <c r="N20" s="70">
        <f t="shared" si="0"/>
        <v>-0.010473102253731043</v>
      </c>
    </row>
    <row r="21" spans="1:14" ht="13.5">
      <c r="A21" s="7"/>
      <c r="B21" s="46"/>
      <c r="C21" s="75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68"/>
    </row>
    <row r="22" spans="1:14" ht="12.75">
      <c r="A22" s="7"/>
      <c r="B22" s="49" t="s">
        <v>56</v>
      </c>
      <c r="C22" s="49"/>
      <c r="D22" s="50">
        <f>D20+D6</f>
        <v>66569</v>
      </c>
      <c r="E22" s="50">
        <f aca="true" t="shared" si="5" ref="E22:M22">E20+E6</f>
        <v>72013</v>
      </c>
      <c r="F22" s="50">
        <f t="shared" si="5"/>
        <v>64318</v>
      </c>
      <c r="G22" s="50">
        <f t="shared" si="5"/>
        <v>57071</v>
      </c>
      <c r="H22" s="50">
        <f t="shared" si="5"/>
        <v>55374</v>
      </c>
      <c r="I22" s="50">
        <f t="shared" si="5"/>
        <v>50393</v>
      </c>
      <c r="J22" s="50">
        <f t="shared" si="5"/>
        <v>54296</v>
      </c>
      <c r="K22" s="50">
        <f t="shared" si="5"/>
        <v>58037</v>
      </c>
      <c r="L22" s="50">
        <f t="shared" si="5"/>
        <v>60758</v>
      </c>
      <c r="M22" s="50">
        <f t="shared" si="5"/>
        <v>59964</v>
      </c>
      <c r="N22" s="70">
        <f t="shared" si="0"/>
        <v>-0.013068237927515719</v>
      </c>
    </row>
    <row r="23" spans="1:14" ht="12.75">
      <c r="A23" s="7"/>
      <c r="B23" s="9"/>
      <c r="C23" s="38"/>
      <c r="D23" s="44"/>
      <c r="E23" s="44"/>
      <c r="F23" s="44"/>
      <c r="G23" s="44"/>
      <c r="H23" s="44"/>
      <c r="I23" s="44"/>
      <c r="J23" s="44"/>
      <c r="K23" s="44"/>
      <c r="L23" s="2"/>
      <c r="M23" s="2"/>
      <c r="N23" s="8"/>
    </row>
    <row r="24" spans="1:14" ht="12.75">
      <c r="A24" s="7"/>
      <c r="B24" s="2" t="s">
        <v>57</v>
      </c>
      <c r="C24" s="2"/>
      <c r="D24" s="19"/>
      <c r="E24" s="20"/>
      <c r="F24" s="20"/>
      <c r="G24" s="21"/>
      <c r="H24" s="21"/>
      <c r="I24" s="21"/>
      <c r="J24" s="21"/>
      <c r="K24" s="21"/>
      <c r="L24" s="2"/>
      <c r="M24" s="2"/>
      <c r="N24" s="8"/>
    </row>
    <row r="25" spans="1:14" ht="12.75">
      <c r="A25" s="7"/>
      <c r="B25" s="2" t="s">
        <v>58</v>
      </c>
      <c r="C25" s="2"/>
      <c r="D25" s="19"/>
      <c r="E25" s="20"/>
      <c r="F25" s="20"/>
      <c r="G25" s="21"/>
      <c r="H25" s="21"/>
      <c r="I25" s="21"/>
      <c r="J25" s="21"/>
      <c r="K25" s="21"/>
      <c r="L25" s="2"/>
      <c r="M25" s="2"/>
      <c r="N25" s="8"/>
    </row>
    <row r="26" spans="1:14" ht="12.75">
      <c r="A26" s="7"/>
      <c r="B26" s="2"/>
      <c r="C26" s="2"/>
      <c r="D26" s="19"/>
      <c r="E26" s="20"/>
      <c r="F26" s="20"/>
      <c r="G26" s="21"/>
      <c r="H26" s="21"/>
      <c r="I26" s="21"/>
      <c r="J26" s="21"/>
      <c r="K26" s="21"/>
      <c r="L26" s="2"/>
      <c r="M26" s="2"/>
      <c r="N26" s="8"/>
    </row>
    <row r="27" spans="1:14" ht="12.75">
      <c r="A27" s="13"/>
      <c r="B27" s="53"/>
      <c r="C27" s="53"/>
      <c r="D27" s="54"/>
      <c r="E27" s="55"/>
      <c r="F27" s="55"/>
      <c r="G27" s="56"/>
      <c r="H27" s="56"/>
      <c r="I27" s="56"/>
      <c r="J27" s="56"/>
      <c r="K27" s="77"/>
      <c r="L27" s="77"/>
      <c r="M27" s="77"/>
      <c r="N27" s="58"/>
    </row>
  </sheetData>
  <mergeCells count="3">
    <mergeCell ref="B1:K1"/>
    <mergeCell ref="B3:C3"/>
    <mergeCell ref="B22:C22"/>
  </mergeCells>
  <printOptions/>
  <pageMargins left="0.7086613774299622" right="0.7086613774299622" top="0.748031497001648" bottom="0.748031497001648" header="0.31496068835258484" footer="0.31496068835258484"/>
  <pageSetup firstPageNumber="1" useFirstPageNumber="1" orientation="landscape" paperSize="9" scale="7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1.390625" style="78" customWidth="1"/>
    <col min="2" max="2" width="16.8984375" style="78" customWidth="1"/>
    <col min="3" max="3" width="23.59765625" style="78" customWidth="1"/>
    <col min="4" max="13" width="9.19921875" style="78" customWidth="1"/>
    <col min="14" max="256" width="10.296875" style="78" customWidth="1"/>
  </cols>
  <sheetData>
    <row r="1" spans="1:13" ht="15">
      <c r="A1" s="3"/>
      <c r="B1" s="17" t="s">
        <v>8</v>
      </c>
      <c r="C1" s="17"/>
      <c r="D1" s="17"/>
      <c r="E1" s="17"/>
      <c r="F1" s="17"/>
      <c r="G1" s="17"/>
      <c r="H1" s="17"/>
      <c r="I1" s="17"/>
      <c r="J1" s="17"/>
      <c r="K1" s="17"/>
      <c r="L1" s="18"/>
      <c r="M1" s="6"/>
    </row>
    <row r="2" spans="1:13" ht="12.75">
      <c r="A2" s="7"/>
      <c r="B2" s="79"/>
      <c r="C2" s="2"/>
      <c r="D2" s="19"/>
      <c r="E2" s="20"/>
      <c r="F2" s="20"/>
      <c r="G2" s="21"/>
      <c r="H2" s="21"/>
      <c r="I2" s="21"/>
      <c r="J2" s="21"/>
      <c r="K2" s="21"/>
      <c r="L2" s="21"/>
      <c r="M2" s="8"/>
    </row>
    <row r="3" spans="1:13" ht="13.5">
      <c r="A3" s="7"/>
      <c r="B3" s="60" t="s">
        <v>36</v>
      </c>
      <c r="C3" s="60"/>
      <c r="D3" s="61">
        <v>2003</v>
      </c>
      <c r="E3" s="61">
        <v>2004</v>
      </c>
      <c r="F3" s="61">
        <v>2005</v>
      </c>
      <c r="G3" s="61">
        <v>2006</v>
      </c>
      <c r="H3" s="61">
        <v>2007</v>
      </c>
      <c r="I3" s="61">
        <v>2008</v>
      </c>
      <c r="J3" s="61">
        <v>2009</v>
      </c>
      <c r="K3" s="61">
        <v>2010</v>
      </c>
      <c r="L3" s="61">
        <v>2011</v>
      </c>
      <c r="M3" s="80">
        <v>2012</v>
      </c>
    </row>
    <row r="4" spans="1:13" ht="12.75">
      <c r="A4" s="7"/>
      <c r="B4" s="63" t="s">
        <v>37</v>
      </c>
      <c r="C4" s="64" t="s">
        <v>38</v>
      </c>
      <c r="D4" s="81">
        <f>'Enrol - Table 1'!D4/'Provider - Table 1'!D4</f>
        <v>9.719047619047618</v>
      </c>
      <c r="E4" s="81">
        <f>'Enrol - Table 1'!E4/'Provider - Table 1'!E4</f>
        <v>8.113636363636363</v>
      </c>
      <c r="F4" s="81">
        <f>'Enrol - Table 1'!F4/'Provider - Table 1'!F4</f>
        <v>6.371727748691099</v>
      </c>
      <c r="G4" s="81">
        <f>'Enrol - Table 1'!G4/'Provider - Table 1'!G4</f>
        <v>5.591176470588235</v>
      </c>
      <c r="H4" s="81">
        <f>'Enrol - Table 1'!H4/'Provider - Table 1'!H4</f>
        <v>7.6770186335403725</v>
      </c>
      <c r="I4" s="81">
        <f>'Enrol - Table 1'!I4/'Provider - Table 1'!I4</f>
        <v>7.290322580645161</v>
      </c>
      <c r="J4" s="81">
        <f>'Enrol - Table 1'!J4/'Provider - Table 1'!J4</f>
        <v>6.090909090909091</v>
      </c>
      <c r="K4" s="81">
        <f>'Enrol - Table 1'!K4/'Provider - Table 1'!K4</f>
        <v>6.761092150170649</v>
      </c>
      <c r="L4" s="81">
        <f>'Enrol - Table 1'!L4/'Provider - Table 1'!L4</f>
        <v>5.970802919708029</v>
      </c>
      <c r="M4" s="82">
        <f>'Enrol - Table 1'!M4/'Provider - Table 1'!M4</f>
        <v>5.70464135021097</v>
      </c>
    </row>
    <row r="5" spans="1:13" ht="12.75">
      <c r="A5" s="7"/>
      <c r="B5" s="30"/>
      <c r="C5" s="31" t="s">
        <v>39</v>
      </c>
      <c r="D5" s="40">
        <f>'Enrol - Table 1'!D5/'Provider - Table 1'!D5</f>
        <v>40.08206686930091</v>
      </c>
      <c r="E5" s="40">
        <f>'Enrol - Table 1'!E5/'Provider - Table 1'!E5</f>
        <v>35.62917933130699</v>
      </c>
      <c r="F5" s="40">
        <f>'Enrol - Table 1'!F5/'Provider - Table 1'!F5</f>
        <v>29.050314465408807</v>
      </c>
      <c r="G5" s="40">
        <f>'Enrol - Table 1'!G5/'Provider - Table 1'!G5</f>
        <v>24.375</v>
      </c>
      <c r="H5" s="40">
        <f>'Enrol - Table 1'!H5/'Provider - Table 1'!H5</f>
        <v>28.81619937694704</v>
      </c>
      <c r="I5" s="40">
        <f>'Enrol - Table 1'!I5/'Provider - Table 1'!I5</f>
        <v>29.185667752442995</v>
      </c>
      <c r="J5" s="40">
        <f>'Enrol - Table 1'!J5/'Provider - Table 1'!J5</f>
        <v>29.889967637540455</v>
      </c>
      <c r="K5" s="40">
        <f>'Enrol - Table 1'!K5/'Provider - Table 1'!K5</f>
        <v>31.155339805825243</v>
      </c>
      <c r="L5" s="40">
        <f>'Enrol - Table 1'!L5/'Provider - Table 1'!L5</f>
        <v>31.154605263157894</v>
      </c>
      <c r="M5" s="83">
        <f>'Enrol - Table 1'!M5/'Provider - Table 1'!M5</f>
        <v>31.498338870431894</v>
      </c>
    </row>
    <row r="6" spans="1:13" ht="12.75">
      <c r="A6" s="7"/>
      <c r="B6" s="35" t="s">
        <v>40</v>
      </c>
      <c r="C6" s="35"/>
      <c r="D6" s="42">
        <f>'Enrol - Table 1'!D6/'Provider - Table 1'!D6</f>
        <v>23.05607476635514</v>
      </c>
      <c r="E6" s="42">
        <f>'Enrol - Table 1'!E6/'Provider - Table 1'!E6</f>
        <v>19.88556566970091</v>
      </c>
      <c r="F6" s="42">
        <f>'Enrol - Table 1'!F6/'Provider - Table 1'!F6</f>
        <v>16.674285714285713</v>
      </c>
      <c r="G6" s="42">
        <f>'Enrol - Table 1'!G6/'Provider - Table 1'!G6</f>
        <v>14.69848484848485</v>
      </c>
      <c r="H6" s="42">
        <f>'Enrol - Table 1'!H6/'Provider - Table 1'!H6</f>
        <v>18.23017107309487</v>
      </c>
      <c r="I6" s="42">
        <f>'Enrol - Table 1'!I6/'Provider - Table 1'!I6</f>
        <v>18.184764991896273</v>
      </c>
      <c r="J6" s="42">
        <f>'Enrol - Table 1'!J6/'Provider - Table 1'!J6</f>
        <v>18.009724473257698</v>
      </c>
      <c r="K6" s="42">
        <f>'Enrol - Table 1'!K6/'Provider - Table 1'!K6</f>
        <v>19.282392026578073</v>
      </c>
      <c r="L6" s="42">
        <f>'Enrol - Table 1'!L6/'Provider - Table 1'!L6</f>
        <v>19.216262975778548</v>
      </c>
      <c r="M6" s="84">
        <f>'Enrol - Table 1'!M6/'Provider - Table 1'!M6</f>
        <v>20.135687732342006</v>
      </c>
    </row>
    <row r="7" spans="1:13" ht="15.75">
      <c r="A7" s="7"/>
      <c r="B7" s="85"/>
      <c r="C7" s="9"/>
      <c r="D7" s="19"/>
      <c r="E7" s="19"/>
      <c r="F7" s="19"/>
      <c r="G7" s="19"/>
      <c r="H7" s="19"/>
      <c r="I7" s="19"/>
      <c r="J7" s="19"/>
      <c r="K7" s="19"/>
      <c r="L7" s="19"/>
      <c r="M7" s="8"/>
    </row>
    <row r="8" spans="1:13" ht="12.75">
      <c r="A8" s="7"/>
      <c r="B8" s="9" t="s">
        <v>59</v>
      </c>
      <c r="C8" s="2" t="s">
        <v>42</v>
      </c>
      <c r="D8" s="19">
        <f>'Enrol - Table 1'!D8/'Provider - Table 1'!D8</f>
        <v>454.8333333333333</v>
      </c>
      <c r="E8" s="19">
        <f>'Enrol - Table 1'!E8/'Provider - Table 1'!E8</f>
        <v>466.25</v>
      </c>
      <c r="F8" s="19">
        <f>'Enrol - Table 1'!F8/'Provider - Table 1'!F8</f>
        <v>421.75</v>
      </c>
      <c r="G8" s="19">
        <f>'Enrol - Table 1'!G8/'Provider - Table 1'!G8</f>
        <v>360.2</v>
      </c>
      <c r="H8" s="19">
        <f>'Enrol - Table 1'!H8/'Provider - Table 1'!H8</f>
        <v>332.25</v>
      </c>
      <c r="I8" s="19">
        <f>'Enrol - Table 1'!I8/'Provider - Table 1'!I8</f>
        <v>306.8</v>
      </c>
      <c r="J8" s="19">
        <f>'Enrol - Table 1'!J8/'Provider - Table 1'!J8</f>
        <v>323.1</v>
      </c>
      <c r="K8" s="19">
        <f>'Enrol - Table 1'!K8/'Provider - Table 1'!K8</f>
        <v>371.15</v>
      </c>
      <c r="L8" s="19">
        <f>'Enrol - Table 1'!L8/'Provider - Table 1'!L8</f>
        <v>422.1111111111111</v>
      </c>
      <c r="M8" s="86">
        <f>'Enrol - Table 1'!M8/'Provider - Table 1'!M8</f>
        <v>427.27777777777777</v>
      </c>
    </row>
    <row r="9" spans="1:13" ht="12.75">
      <c r="A9" s="7"/>
      <c r="B9" s="2"/>
      <c r="C9" s="2" t="s">
        <v>43</v>
      </c>
      <c r="D9" s="19">
        <f>'Enrol - Table 1'!D9/'Provider - Table 1'!D9</f>
        <v>77.5</v>
      </c>
      <c r="E9" s="19">
        <f>'Enrol - Table 1'!E9/'Provider - Table 1'!E9</f>
        <v>95</v>
      </c>
      <c r="F9" s="19">
        <f>'Enrol - Table 1'!F9/'Provider - Table 1'!F9</f>
        <v>156</v>
      </c>
      <c r="G9" s="19">
        <f>'Enrol - Table 1'!G9/'Provider - Table 1'!G9</f>
        <v>114.5</v>
      </c>
      <c r="H9" s="19"/>
      <c r="I9" s="19"/>
      <c r="J9" s="19"/>
      <c r="K9" s="19"/>
      <c r="L9" s="19"/>
      <c r="M9" s="8"/>
    </row>
    <row r="10" spans="1:13" ht="12.75">
      <c r="A10" s="7"/>
      <c r="B10" s="2"/>
      <c r="C10" s="2" t="s">
        <v>44</v>
      </c>
      <c r="D10" s="19">
        <f>'Enrol - Table 1'!D10/'Provider - Table 1'!D10</f>
        <v>2017.625</v>
      </c>
      <c r="E10" s="19">
        <f>'Enrol - Table 1'!E10/'Provider - Table 1'!E10</f>
        <v>2868.375</v>
      </c>
      <c r="F10" s="19">
        <f>'Enrol - Table 1'!F10/'Provider - Table 1'!F10</f>
        <v>2961.875</v>
      </c>
      <c r="G10" s="19">
        <f>'Enrol - Table 1'!G10/'Provider - Table 1'!G10</f>
        <v>2649.875</v>
      </c>
      <c r="H10" s="19">
        <f>'Enrol - Table 1'!H10/'Provider - Table 1'!H10</f>
        <v>2230.875</v>
      </c>
      <c r="I10" s="19">
        <f>'Enrol - Table 1'!I10/'Provider - Table 1'!I10</f>
        <v>1859</v>
      </c>
      <c r="J10" s="19">
        <f>'Enrol - Table 1'!J10/'Provider - Table 1'!J10</f>
        <v>1867.375</v>
      </c>
      <c r="K10" s="19">
        <f>'Enrol - Table 1'!K10/'Provider - Table 1'!K10</f>
        <v>1938.125</v>
      </c>
      <c r="L10" s="19">
        <f>'Enrol - Table 1'!L10/'Provider - Table 1'!L10</f>
        <v>1877.75</v>
      </c>
      <c r="M10" s="86">
        <f>'Enrol - Table 1'!M10/'Provider - Table 1'!M10</f>
        <v>1890</v>
      </c>
    </row>
    <row r="11" spans="1:13" ht="12.75">
      <c r="A11" s="7"/>
      <c r="B11" s="2"/>
      <c r="C11" s="31" t="s">
        <v>45</v>
      </c>
      <c r="D11" s="40"/>
      <c r="E11" s="40">
        <f>'Enrol - Table 1'!E11/'Provider - Table 1'!E11</f>
        <v>2</v>
      </c>
      <c r="F11" s="40">
        <f>'Enrol - Table 1'!F11/'Provider - Table 1'!F11</f>
        <v>8</v>
      </c>
      <c r="G11" s="40"/>
      <c r="H11" s="40"/>
      <c r="I11" s="40"/>
      <c r="J11" s="40"/>
      <c r="K11" s="40"/>
      <c r="L11" s="40"/>
      <c r="M11" s="83"/>
    </row>
    <row r="12" spans="1:13" ht="12.75">
      <c r="A12" s="7"/>
      <c r="B12" s="2"/>
      <c r="C12" s="35" t="s">
        <v>46</v>
      </c>
      <c r="D12" s="42">
        <f>'Enrol - Table 1'!D12/'Provider - Table 1'!D12</f>
        <v>821.3333333333334</v>
      </c>
      <c r="E12" s="42">
        <f>'Enrol - Table 1'!E12/'Provider - Table 1'!E12</f>
        <v>989.5151515151515</v>
      </c>
      <c r="F12" s="42">
        <f>'Enrol - Table 1'!F12/'Provider - Table 1'!F12</f>
        <v>1046.774193548387</v>
      </c>
      <c r="G12" s="42">
        <f>'Enrol - Table 1'!G12/'Provider - Table 1'!G12</f>
        <v>954.4</v>
      </c>
      <c r="H12" s="42">
        <f>'Enrol - Table 1'!H12/'Provider - Table 1'!H12</f>
        <v>874.7142857142857</v>
      </c>
      <c r="I12" s="42">
        <f>'Enrol - Table 1'!I12/'Provider - Table 1'!I12</f>
        <v>750.2857142857143</v>
      </c>
      <c r="J12" s="42">
        <f>'Enrol - Table 1'!J12/'Provider - Table 1'!J12</f>
        <v>764.3214285714286</v>
      </c>
      <c r="K12" s="42">
        <f>'Enrol - Table 1'!K12/'Provider - Table 1'!K12</f>
        <v>818.8571428571429</v>
      </c>
      <c r="L12" s="42">
        <f>'Enrol - Table 1'!L12/'Provider - Table 1'!L12</f>
        <v>870</v>
      </c>
      <c r="M12" s="84">
        <f>'Enrol - Table 1'!M12/'Provider - Table 1'!M12</f>
        <v>877.3461538461538</v>
      </c>
    </row>
    <row r="13" spans="1:13" ht="12.75">
      <c r="A13" s="7"/>
      <c r="B13" s="2"/>
      <c r="C13" s="2"/>
      <c r="D13" s="19"/>
      <c r="E13" s="19"/>
      <c r="F13" s="19"/>
      <c r="G13" s="19"/>
      <c r="H13" s="19"/>
      <c r="I13" s="19"/>
      <c r="J13" s="19"/>
      <c r="K13" s="19"/>
      <c r="L13" s="19"/>
      <c r="M13" s="8"/>
    </row>
    <row r="14" spans="1:13" ht="12.75">
      <c r="A14" s="7"/>
      <c r="B14" s="9" t="s">
        <v>60</v>
      </c>
      <c r="C14" s="2" t="s">
        <v>48</v>
      </c>
      <c r="D14" s="19">
        <f>'Enrol - Table 1'!D14/'Provider - Table 1'!D14</f>
        <v>80.47560975609755</v>
      </c>
      <c r="E14" s="19">
        <f>'Enrol - Table 1'!E14/'Provider - Table 1'!E14</f>
        <v>55.88392857142857</v>
      </c>
      <c r="F14" s="19">
        <f>'Enrol - Table 1'!F14/'Provider - Table 1'!F14</f>
        <v>50.73170731707317</v>
      </c>
      <c r="G14" s="19">
        <f>'Enrol - Table 1'!G14/'Provider - Table 1'!G14</f>
        <v>41.55555555555556</v>
      </c>
      <c r="H14" s="19">
        <f>'Enrol - Table 1'!H14/'Provider - Table 1'!H14</f>
        <v>40.1271186440678</v>
      </c>
      <c r="I14" s="19">
        <f>'Enrol - Table 1'!I14/'Provider - Table 1'!I14</f>
        <v>48.15533980582524</v>
      </c>
      <c r="J14" s="19">
        <f>'Enrol - Table 1'!J14/'Provider - Table 1'!J14</f>
        <v>60.67307692307692</v>
      </c>
      <c r="K14" s="19">
        <f>'Enrol - Table 1'!K14/'Provider - Table 1'!K14</f>
        <v>65.04901960784314</v>
      </c>
      <c r="L14" s="19">
        <f>'Enrol - Table 1'!L14/'Provider - Table 1'!L14</f>
        <v>74.3</v>
      </c>
      <c r="M14" s="86">
        <f>'Enrol - Table 1'!M14/'Provider - Table 1'!M14</f>
        <v>79.5</v>
      </c>
    </row>
    <row r="15" spans="1:13" ht="12.75">
      <c r="A15" s="7"/>
      <c r="B15" s="9"/>
      <c r="C15" s="31" t="s">
        <v>49</v>
      </c>
      <c r="D15" s="40">
        <f>'Enrol - Table 1'!D15/'Provider - Table 1'!D15</f>
        <v>119.33823529411765</v>
      </c>
      <c r="E15" s="40">
        <f>'Enrol - Table 1'!E15/'Provider - Table 1'!E15</f>
        <v>104.41614906832298</v>
      </c>
      <c r="F15" s="40">
        <f>'Enrol - Table 1'!F15/'Provider - Table 1'!F15</f>
        <v>91.15172413793104</v>
      </c>
      <c r="G15" s="40">
        <f>'Enrol - Table 1'!G15/'Provider - Table 1'!G15</f>
        <v>100.39682539682539</v>
      </c>
      <c r="H15" s="40">
        <f>'Enrol - Table 1'!H15/'Provider - Table 1'!H15</f>
        <v>116.90434782608696</v>
      </c>
      <c r="I15" s="40">
        <f>'Enrol - Table 1'!I15/'Provider - Table 1'!I15</f>
        <v>94.61904761904762</v>
      </c>
      <c r="J15" s="40">
        <f>'Enrol - Table 1'!J15/'Provider - Table 1'!J15</f>
        <v>113.47154471544715</v>
      </c>
      <c r="K15" s="40">
        <f>'Enrol - Table 1'!K15/'Provider - Table 1'!K15</f>
        <v>122.87903225806451</v>
      </c>
      <c r="L15" s="40">
        <f>'Enrol - Table 1'!L15/'Provider - Table 1'!L15</f>
        <v>143.9504132231405</v>
      </c>
      <c r="M15" s="83">
        <f>'Enrol - Table 1'!M15/'Provider - Table 1'!M15</f>
        <v>144.13636363636363</v>
      </c>
    </row>
    <row r="16" spans="1:13" ht="12.75">
      <c r="A16" s="7"/>
      <c r="B16" s="9"/>
      <c r="C16" s="35" t="s">
        <v>50</v>
      </c>
      <c r="D16" s="42">
        <f>'Enrol - Table 1'!D16/'Provider - Table 1'!D16</f>
        <v>104.72018348623853</v>
      </c>
      <c r="E16" s="42">
        <f>'Enrol - Table 1'!E16/'Provider - Table 1'!E16</f>
        <v>84.50549450549451</v>
      </c>
      <c r="F16" s="42">
        <f>'Enrol - Table 1'!F16/'Provider - Table 1'!F16</f>
        <v>72.60074626865672</v>
      </c>
      <c r="G16" s="42">
        <f>'Enrol - Table 1'!G16/'Provider - Table 1'!G16</f>
        <v>70.97619047619048</v>
      </c>
      <c r="H16" s="42">
        <f>'Enrol - Table 1'!H16/'Provider - Table 1'!H16</f>
        <v>78.02145922746782</v>
      </c>
      <c r="I16" s="42">
        <f>'Enrol - Table 1'!I16/'Provider - Table 1'!I16</f>
        <v>73.72052401746726</v>
      </c>
      <c r="J16" s="42">
        <f>'Enrol - Table 1'!J16/'Provider - Table 1'!J16</f>
        <v>89.28193832599119</v>
      </c>
      <c r="K16" s="42">
        <f>'Enrol - Table 1'!K16/'Provider - Table 1'!K16</f>
        <v>96.77876106194691</v>
      </c>
      <c r="L16" s="42">
        <f>'Enrol - Table 1'!L16/'Provider - Table 1'!L16</f>
        <v>112.43438914027149</v>
      </c>
      <c r="M16" s="84">
        <f>'Enrol - Table 1'!M16/'Provider - Table 1'!M16</f>
        <v>112.72429906542057</v>
      </c>
    </row>
    <row r="17" spans="1:13" ht="12.75">
      <c r="A17" s="7"/>
      <c r="B17" s="2"/>
      <c r="C17" s="9"/>
      <c r="D17" s="19"/>
      <c r="E17" s="19"/>
      <c r="F17" s="19"/>
      <c r="G17" s="19"/>
      <c r="H17" s="19"/>
      <c r="I17" s="19"/>
      <c r="J17" s="19"/>
      <c r="K17" s="19"/>
      <c r="L17" s="19"/>
      <c r="M17" s="8"/>
    </row>
    <row r="18" spans="1:13" ht="12.75">
      <c r="A18" s="7"/>
      <c r="B18" s="9" t="s">
        <v>51</v>
      </c>
      <c r="C18" s="2"/>
      <c r="D18" s="19">
        <f>'Enrol - Table 1'!D18/'Provider - Table 1'!D18</f>
        <v>305.1666666666667</v>
      </c>
      <c r="E18" s="19">
        <f>'Enrol - Table 1'!E18/'Provider - Table 1'!E18</f>
        <v>124.625</v>
      </c>
      <c r="F18" s="19">
        <f>'Enrol - Table 1'!F18/'Provider - Table 1'!F18</f>
        <v>82.11111111111111</v>
      </c>
      <c r="G18" s="19">
        <f>'Enrol - Table 1'!G18/'Provider - Table 1'!G18</f>
        <v>142</v>
      </c>
      <c r="H18" s="19">
        <f>'Enrol - Table 1'!H18/'Provider - Table 1'!H18</f>
        <v>196.2</v>
      </c>
      <c r="I18" s="19">
        <f>'Enrol - Table 1'!I18/'Provider - Table 1'!I18</f>
        <v>256.6</v>
      </c>
      <c r="J18" s="19">
        <f>'Enrol - Table 1'!J18/'Provider - Table 1'!J18</f>
        <v>303.2</v>
      </c>
      <c r="K18" s="19">
        <f>'Enrol - Table 1'!K18/'Provider - Table 1'!K18</f>
        <v>271.5</v>
      </c>
      <c r="L18" s="19">
        <f>'Enrol - Table 1'!L18/'Provider - Table 1'!L18</f>
        <v>363.8333333333333</v>
      </c>
      <c r="M18" s="86">
        <f>'Enrol - Table 1'!M18/'Provider - Table 1'!M18</f>
        <v>366.1666666666667</v>
      </c>
    </row>
    <row r="19" spans="1:13" ht="15.75">
      <c r="A19" s="7"/>
      <c r="B19" s="87"/>
      <c r="C19" s="30"/>
      <c r="D19" s="45"/>
      <c r="E19" s="45"/>
      <c r="F19" s="45"/>
      <c r="G19" s="45"/>
      <c r="H19" s="45"/>
      <c r="I19" s="45"/>
      <c r="J19" s="45"/>
      <c r="K19" s="45"/>
      <c r="L19" s="45"/>
      <c r="M19" s="88"/>
    </row>
    <row r="20" spans="1:13" ht="12.75">
      <c r="A20" s="7"/>
      <c r="B20" s="35" t="s">
        <v>52</v>
      </c>
      <c r="C20" s="35"/>
      <c r="D20" s="42">
        <f>'Enrol - Table 1'!D20/'Provider - Table 1'!D20</f>
        <v>194.09448818897638</v>
      </c>
      <c r="E20" s="42">
        <f>'Enrol - Table 1'!E20/'Provider - Table 1'!E20</f>
        <v>180.64012738853503</v>
      </c>
      <c r="F20" s="42">
        <f>'Enrol - Table 1'!F20/'Provider - Table 1'!F20</f>
        <v>170.92857142857142</v>
      </c>
      <c r="G20" s="42">
        <f>'Enrol - Table 1'!G20/'Provider - Table 1'!G20</f>
        <v>164.47916666666666</v>
      </c>
      <c r="H20" s="42">
        <f>'Enrol - Table 1'!H20/'Provider - Table 1'!H20</f>
        <v>164.10526315789474</v>
      </c>
      <c r="I20" s="42">
        <f>'Enrol - Table 1'!I20/'Provider - Table 1'!I20</f>
        <v>149.51526717557252</v>
      </c>
      <c r="J20" s="42">
        <f>'Enrol - Table 1'!J20/'Provider - Table 1'!J20</f>
        <v>166.09230769230768</v>
      </c>
      <c r="K20" s="42">
        <f>'Enrol - Table 1'!K20/'Provider - Table 1'!K20</f>
        <v>178.5730769230769</v>
      </c>
      <c r="L20" s="42">
        <f>'Enrol - Table 1'!L20/'Provider - Table 1'!L20</f>
        <v>196.2490118577075</v>
      </c>
      <c r="M20" s="84">
        <f>'Enrol - Table 1'!M20/'Provider - Table 1'!M20</f>
        <v>199.71951219512195</v>
      </c>
    </row>
    <row r="21" spans="1:13" ht="16.5">
      <c r="A21" s="7"/>
      <c r="B21" s="89"/>
      <c r="C21" s="46"/>
      <c r="D21" s="90"/>
      <c r="E21" s="90"/>
      <c r="F21" s="91"/>
      <c r="G21" s="91"/>
      <c r="H21" s="91"/>
      <c r="I21" s="91"/>
      <c r="J21" s="91"/>
      <c r="K21" s="91"/>
      <c r="L21" s="91"/>
      <c r="M21" s="92"/>
    </row>
    <row r="22" spans="1:13" ht="12.75">
      <c r="A22" s="13"/>
      <c r="B22" s="93" t="s">
        <v>61</v>
      </c>
      <c r="C22" s="93"/>
      <c r="D22" s="94">
        <f>'Enrol - Table 1'!D22/'Provider - Table 1'!D22</f>
        <v>66.36989032901296</v>
      </c>
      <c r="E22" s="94">
        <f>'Enrol - Table 1'!E22/'Provider - Table 1'!E22</f>
        <v>66.49399815327793</v>
      </c>
      <c r="F22" s="94">
        <f>'Enrol - Table 1'!F22/'Provider - Table 1'!F22</f>
        <v>63.807539682539684</v>
      </c>
      <c r="G22" s="94">
        <f>'Enrol - Table 1'!G22/'Provider - Table 1'!G22</f>
        <v>60.20147679324894</v>
      </c>
      <c r="H22" s="94">
        <f>'Enrol - Table 1'!H22/'Provider - Table 1'!H22</f>
        <v>60.917491749174914</v>
      </c>
      <c r="I22" s="94">
        <f>'Enrol - Table 1'!I22/'Provider - Table 1'!I22</f>
        <v>57.329920364050054</v>
      </c>
      <c r="J22" s="94">
        <f>'Enrol - Table 1'!J22/'Provider - Table 1'!J22</f>
        <v>61.911060433295326</v>
      </c>
      <c r="K22" s="94">
        <f>'Enrol - Table 1'!K22/'Provider - Table 1'!K22</f>
        <v>67.32830626450117</v>
      </c>
      <c r="L22" s="94">
        <f>'Enrol - Table 1'!L22/'Provider - Table 1'!L22</f>
        <v>73.11432009626955</v>
      </c>
      <c r="M22" s="95">
        <f>'Enrol - Table 1'!M22/'Provider - Table 1'!M22</f>
        <v>76.48469387755102</v>
      </c>
    </row>
  </sheetData>
  <mergeCells count="3">
    <mergeCell ref="B1:K1"/>
    <mergeCell ref="B3:C3"/>
    <mergeCell ref="B22:C22"/>
  </mergeCells>
  <printOptions/>
  <pageMargins left="0.7086613774299622" right="0.7086613774299622" top="0.748031497001648" bottom="0.748031497001648" header="0.31496068835258484" footer="0.31496068835258484"/>
  <pageSetup firstPageNumber="1" useFirstPageNumber="1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6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1.390625" style="96" customWidth="1"/>
    <col min="2" max="2" width="23.59765625" style="96" customWidth="1"/>
    <col min="3" max="4" width="8.296875" style="96" customWidth="1"/>
    <col min="5" max="13" width="9.19921875" style="96" customWidth="1"/>
    <col min="14" max="14" width="14.8984375" style="96" customWidth="1"/>
    <col min="15" max="15" width="12.59765625" style="96" customWidth="1"/>
    <col min="16" max="256" width="10.296875" style="96" customWidth="1"/>
  </cols>
  <sheetData>
    <row r="1" spans="1:15" ht="15" customHeight="1">
      <c r="A1" s="3"/>
      <c r="B1" s="17" t="s">
        <v>10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6"/>
    </row>
    <row r="2" spans="1:15" ht="12.75">
      <c r="A2" s="7"/>
      <c r="B2" s="2"/>
      <c r="C2" s="2"/>
      <c r="D2" s="2"/>
      <c r="E2" s="29"/>
      <c r="F2" s="21"/>
      <c r="G2" s="21"/>
      <c r="H2" s="21"/>
      <c r="I2" s="21"/>
      <c r="J2" s="21"/>
      <c r="K2" s="21"/>
      <c r="L2" s="21"/>
      <c r="M2" s="21"/>
      <c r="N2" s="21"/>
      <c r="O2" s="8"/>
    </row>
    <row r="3" spans="1:15" ht="12.75">
      <c r="A3" s="7"/>
      <c r="B3" s="2"/>
      <c r="C3" s="2"/>
      <c r="D3" s="2"/>
      <c r="E3" s="29"/>
      <c r="F3" s="21"/>
      <c r="G3" s="21"/>
      <c r="H3" s="21"/>
      <c r="I3" s="21"/>
      <c r="J3" s="21"/>
      <c r="K3" s="21"/>
      <c r="L3" s="21"/>
      <c r="M3" s="21"/>
      <c r="N3" s="21"/>
      <c r="O3" s="8"/>
    </row>
    <row r="4" spans="1:15" ht="49.5" customHeight="1">
      <c r="A4" s="7"/>
      <c r="B4" s="97" t="s">
        <v>62</v>
      </c>
      <c r="C4" s="97">
        <v>2003</v>
      </c>
      <c r="D4" s="97">
        <v>2004</v>
      </c>
      <c r="E4" s="98">
        <v>2005</v>
      </c>
      <c r="F4" s="98">
        <v>2006</v>
      </c>
      <c r="G4" s="98">
        <v>2007</v>
      </c>
      <c r="H4" s="98">
        <v>2008</v>
      </c>
      <c r="I4" s="98">
        <v>2009</v>
      </c>
      <c r="J4" s="98">
        <v>2010</v>
      </c>
      <c r="K4" s="98">
        <v>2011</v>
      </c>
      <c r="L4" s="98">
        <v>2012</v>
      </c>
      <c r="M4" s="98" t="s">
        <v>55</v>
      </c>
      <c r="N4" s="99" t="s">
        <v>63</v>
      </c>
      <c r="O4" s="100"/>
    </row>
    <row r="5" spans="1:15" ht="12.75">
      <c r="A5" s="7"/>
      <c r="B5" s="64" t="s">
        <v>64</v>
      </c>
      <c r="C5" s="101">
        <v>395</v>
      </c>
      <c r="D5" s="101">
        <v>313</v>
      </c>
      <c r="E5" s="101">
        <v>248</v>
      </c>
      <c r="F5" s="101">
        <v>209</v>
      </c>
      <c r="G5" s="101">
        <v>280</v>
      </c>
      <c r="H5" s="101">
        <v>225</v>
      </c>
      <c r="I5" s="101">
        <v>251</v>
      </c>
      <c r="J5" s="101">
        <v>232</v>
      </c>
      <c r="K5" s="101">
        <v>193</v>
      </c>
      <c r="L5" s="101">
        <v>263</v>
      </c>
      <c r="M5" s="102">
        <f>(L5-K5)/K5</f>
        <v>0.3626943005181347</v>
      </c>
      <c r="N5" s="103">
        <f>ROUND(L5/$L$23*100,1)</f>
        <v>0.4</v>
      </c>
      <c r="O5" s="8"/>
    </row>
    <row r="6" spans="1:15" ht="12.75">
      <c r="A6" s="7"/>
      <c r="B6" s="2" t="s">
        <v>65</v>
      </c>
      <c r="C6" s="104">
        <v>35523</v>
      </c>
      <c r="D6" s="104">
        <v>36079</v>
      </c>
      <c r="E6" s="104">
        <v>32074</v>
      </c>
      <c r="F6" s="104">
        <v>29127</v>
      </c>
      <c r="G6" s="104">
        <v>29006</v>
      </c>
      <c r="H6" s="104">
        <v>26638</v>
      </c>
      <c r="I6" s="104">
        <v>29571</v>
      </c>
      <c r="J6" s="104">
        <v>31602</v>
      </c>
      <c r="K6" s="104">
        <v>35465</v>
      </c>
      <c r="L6" s="104">
        <v>37046</v>
      </c>
      <c r="M6" s="105">
        <f aca="true" t="shared" si="0" ref="M6:M21">(L6-K6)/K6</f>
        <v>0.044579162554631326</v>
      </c>
      <c r="N6" s="106">
        <f aca="true" t="shared" si="1" ref="N6:N21">ROUND(L6/$L$23*100,1)</f>
        <v>61.8</v>
      </c>
      <c r="O6" s="8"/>
    </row>
    <row r="7" spans="1:15" ht="12.75">
      <c r="A7" s="7"/>
      <c r="B7" s="2" t="s">
        <v>66</v>
      </c>
      <c r="C7" s="104">
        <v>4071</v>
      </c>
      <c r="D7" s="104">
        <v>5283</v>
      </c>
      <c r="E7" s="104">
        <v>4856</v>
      </c>
      <c r="F7" s="104">
        <v>4183</v>
      </c>
      <c r="G7" s="104">
        <v>3577</v>
      </c>
      <c r="H7" s="104">
        <v>3307</v>
      </c>
      <c r="I7" s="104">
        <v>3368</v>
      </c>
      <c r="J7" s="104">
        <v>3724</v>
      </c>
      <c r="K7" s="104">
        <v>3470</v>
      </c>
      <c r="L7" s="104">
        <v>3796</v>
      </c>
      <c r="M7" s="105">
        <f t="shared" si="0"/>
        <v>0.09394812680115273</v>
      </c>
      <c r="N7" s="106">
        <f t="shared" si="1"/>
        <v>6.3</v>
      </c>
      <c r="O7" s="8"/>
    </row>
    <row r="8" spans="1:15" ht="12.75">
      <c r="A8" s="7"/>
      <c r="B8" s="2" t="s">
        <v>67</v>
      </c>
      <c r="C8" s="104">
        <v>1509</v>
      </c>
      <c r="D8" s="104">
        <v>1313</v>
      </c>
      <c r="E8" s="104">
        <v>1335</v>
      </c>
      <c r="F8" s="104">
        <v>1072</v>
      </c>
      <c r="G8" s="104">
        <v>1291</v>
      </c>
      <c r="H8" s="104">
        <v>1181</v>
      </c>
      <c r="I8" s="104">
        <v>1431</v>
      </c>
      <c r="J8" s="104">
        <v>1519</v>
      </c>
      <c r="K8" s="104">
        <v>2270</v>
      </c>
      <c r="L8" s="104">
        <v>2003</v>
      </c>
      <c r="M8" s="105">
        <f t="shared" si="0"/>
        <v>-0.11762114537444934</v>
      </c>
      <c r="N8" s="106">
        <f t="shared" si="1"/>
        <v>3.3</v>
      </c>
      <c r="O8" s="8"/>
    </row>
    <row r="9" spans="1:15" ht="12.75">
      <c r="A9" s="7"/>
      <c r="B9" s="2" t="s">
        <v>68</v>
      </c>
      <c r="C9" s="104">
        <v>251</v>
      </c>
      <c r="D9" s="104">
        <v>170</v>
      </c>
      <c r="E9" s="104">
        <v>118</v>
      </c>
      <c r="F9" s="104">
        <v>84</v>
      </c>
      <c r="G9" s="104">
        <v>104</v>
      </c>
      <c r="H9" s="104">
        <v>46</v>
      </c>
      <c r="I9" s="104">
        <v>37</v>
      </c>
      <c r="J9" s="104">
        <v>20</v>
      </c>
      <c r="K9" s="104">
        <v>29</v>
      </c>
      <c r="L9" s="104">
        <v>15</v>
      </c>
      <c r="M9" s="105">
        <f t="shared" si="0"/>
        <v>-0.4827586206896552</v>
      </c>
      <c r="N9" s="106">
        <f t="shared" si="1"/>
        <v>0</v>
      </c>
      <c r="O9" s="8"/>
    </row>
    <row r="10" spans="1:15" ht="12.75">
      <c r="A10" s="7"/>
      <c r="B10" s="2" t="s">
        <v>69</v>
      </c>
      <c r="C10" s="104">
        <v>701</v>
      </c>
      <c r="D10" s="104">
        <v>690</v>
      </c>
      <c r="E10" s="104">
        <v>648</v>
      </c>
      <c r="F10" s="104">
        <v>573</v>
      </c>
      <c r="G10" s="104">
        <v>676</v>
      </c>
      <c r="H10" s="104">
        <v>616</v>
      </c>
      <c r="I10" s="104">
        <v>570</v>
      </c>
      <c r="J10" s="104">
        <v>615</v>
      </c>
      <c r="K10" s="104">
        <v>664</v>
      </c>
      <c r="L10" s="104">
        <v>693</v>
      </c>
      <c r="M10" s="105">
        <f t="shared" si="0"/>
        <v>0.043674698795180725</v>
      </c>
      <c r="N10" s="106">
        <f t="shared" si="1"/>
        <v>1.2</v>
      </c>
      <c r="O10" s="8"/>
    </row>
    <row r="11" spans="1:15" ht="12.75">
      <c r="A11" s="7"/>
      <c r="B11" s="2" t="s">
        <v>70</v>
      </c>
      <c r="C11" s="104">
        <v>375</v>
      </c>
      <c r="D11" s="104">
        <v>556</v>
      </c>
      <c r="E11" s="104">
        <v>601</v>
      </c>
      <c r="F11" s="104">
        <v>490</v>
      </c>
      <c r="G11" s="104">
        <v>432</v>
      </c>
      <c r="H11" s="104">
        <v>541</v>
      </c>
      <c r="I11" s="104">
        <v>919</v>
      </c>
      <c r="J11" s="104">
        <v>897</v>
      </c>
      <c r="K11" s="104">
        <v>637</v>
      </c>
      <c r="L11" s="104">
        <v>618</v>
      </c>
      <c r="M11" s="105">
        <f t="shared" si="0"/>
        <v>-0.029827315541601257</v>
      </c>
      <c r="N11" s="106">
        <f t="shared" si="1"/>
        <v>1</v>
      </c>
      <c r="O11" s="8"/>
    </row>
    <row r="12" spans="1:15" ht="12.75">
      <c r="A12" s="7"/>
      <c r="B12" s="2" t="s">
        <v>71</v>
      </c>
      <c r="C12" s="104">
        <v>2423</v>
      </c>
      <c r="D12" s="104">
        <v>3050</v>
      </c>
      <c r="E12" s="104">
        <v>2607</v>
      </c>
      <c r="F12" s="104">
        <v>2103</v>
      </c>
      <c r="G12" s="104">
        <v>2037</v>
      </c>
      <c r="H12" s="104">
        <v>1733</v>
      </c>
      <c r="I12" s="104">
        <v>1845</v>
      </c>
      <c r="J12" s="104">
        <v>1814</v>
      </c>
      <c r="K12" s="104">
        <v>1910</v>
      </c>
      <c r="L12" s="104">
        <v>1977</v>
      </c>
      <c r="M12" s="105">
        <f t="shared" si="0"/>
        <v>0.03507853403141361</v>
      </c>
      <c r="N12" s="106">
        <f t="shared" si="1"/>
        <v>3.3</v>
      </c>
      <c r="O12" s="8"/>
    </row>
    <row r="13" spans="1:15" ht="12.75">
      <c r="A13" s="7"/>
      <c r="B13" s="2" t="s">
        <v>72</v>
      </c>
      <c r="C13" s="104">
        <v>5706</v>
      </c>
      <c r="D13" s="104">
        <v>6554</v>
      </c>
      <c r="E13" s="104">
        <v>6179</v>
      </c>
      <c r="F13" s="104">
        <v>5200</v>
      </c>
      <c r="G13" s="104">
        <v>4154</v>
      </c>
      <c r="H13" s="104">
        <v>3500</v>
      </c>
      <c r="I13" s="104">
        <v>3494</v>
      </c>
      <c r="J13" s="104">
        <v>3658</v>
      </c>
      <c r="K13" s="104">
        <v>3969</v>
      </c>
      <c r="L13" s="104">
        <v>3921</v>
      </c>
      <c r="M13" s="105">
        <f t="shared" si="0"/>
        <v>-0.012093726379440665</v>
      </c>
      <c r="N13" s="106">
        <f t="shared" si="1"/>
        <v>6.5</v>
      </c>
      <c r="O13" s="8"/>
    </row>
    <row r="14" spans="1:15" ht="12.75">
      <c r="A14" s="7"/>
      <c r="B14" s="2" t="s">
        <v>73</v>
      </c>
      <c r="C14" s="104">
        <v>39</v>
      </c>
      <c r="D14" s="104">
        <v>64</v>
      </c>
      <c r="E14" s="104">
        <v>59</v>
      </c>
      <c r="F14" s="104">
        <v>62</v>
      </c>
      <c r="G14" s="104">
        <v>80</v>
      </c>
      <c r="H14" s="104">
        <v>70</v>
      </c>
      <c r="I14" s="104">
        <v>75</v>
      </c>
      <c r="J14" s="104">
        <v>106</v>
      </c>
      <c r="K14" s="104">
        <v>98</v>
      </c>
      <c r="L14" s="104">
        <v>101</v>
      </c>
      <c r="M14" s="105">
        <f t="shared" si="0"/>
        <v>0.030612244897959183</v>
      </c>
      <c r="N14" s="106">
        <f t="shared" si="1"/>
        <v>0.2</v>
      </c>
      <c r="O14" s="8"/>
    </row>
    <row r="15" spans="1:15" ht="12.75">
      <c r="A15" s="7"/>
      <c r="B15" s="2" t="s">
        <v>74</v>
      </c>
      <c r="C15" s="104">
        <v>615</v>
      </c>
      <c r="D15" s="104">
        <v>516</v>
      </c>
      <c r="E15" s="104">
        <v>462</v>
      </c>
      <c r="F15" s="104">
        <v>421</v>
      </c>
      <c r="G15" s="104">
        <v>523</v>
      </c>
      <c r="H15" s="104">
        <v>517</v>
      </c>
      <c r="I15" s="104">
        <v>521</v>
      </c>
      <c r="J15" s="104">
        <v>586</v>
      </c>
      <c r="K15" s="104">
        <v>597</v>
      </c>
      <c r="L15" s="104">
        <v>603</v>
      </c>
      <c r="M15" s="105">
        <f t="shared" si="0"/>
        <v>0.010050251256281407</v>
      </c>
      <c r="N15" s="106">
        <f t="shared" si="1"/>
        <v>1</v>
      </c>
      <c r="O15" s="8"/>
    </row>
    <row r="16" spans="1:15" ht="12.75">
      <c r="A16" s="7"/>
      <c r="B16" s="2" t="s">
        <v>75</v>
      </c>
      <c r="C16" s="104">
        <v>80</v>
      </c>
      <c r="D16" s="104">
        <v>82</v>
      </c>
      <c r="E16" s="104">
        <v>66</v>
      </c>
      <c r="F16" s="104">
        <v>57</v>
      </c>
      <c r="G16" s="104">
        <v>70</v>
      </c>
      <c r="H16" s="104">
        <v>57</v>
      </c>
      <c r="I16" s="104">
        <v>62</v>
      </c>
      <c r="J16" s="104">
        <v>42</v>
      </c>
      <c r="K16" s="104">
        <v>64</v>
      </c>
      <c r="L16" s="104">
        <v>45</v>
      </c>
      <c r="M16" s="105">
        <f t="shared" si="0"/>
        <v>-0.296875</v>
      </c>
      <c r="N16" s="106">
        <f t="shared" si="1"/>
        <v>0.1</v>
      </c>
      <c r="O16" s="8"/>
    </row>
    <row r="17" spans="1:15" ht="12.75">
      <c r="A17" s="7"/>
      <c r="B17" s="2" t="s">
        <v>76</v>
      </c>
      <c r="C17" s="104">
        <v>20</v>
      </c>
      <c r="D17" s="104">
        <v>28</v>
      </c>
      <c r="E17" s="104">
        <v>21</v>
      </c>
      <c r="F17" s="104">
        <v>28</v>
      </c>
      <c r="G17" s="104">
        <v>38</v>
      </c>
      <c r="H17" s="104">
        <v>76</v>
      </c>
      <c r="I17" s="104">
        <v>22</v>
      </c>
      <c r="J17" s="104">
        <v>37</v>
      </c>
      <c r="K17" s="104">
        <v>25</v>
      </c>
      <c r="L17" s="104">
        <v>26</v>
      </c>
      <c r="M17" s="105">
        <f t="shared" si="0"/>
        <v>0.04</v>
      </c>
      <c r="N17" s="106">
        <f t="shared" si="1"/>
        <v>0</v>
      </c>
      <c r="O17" s="8"/>
    </row>
    <row r="18" spans="1:15" ht="12.75">
      <c r="A18" s="7"/>
      <c r="B18" s="2" t="s">
        <v>77</v>
      </c>
      <c r="C18" s="104">
        <v>10841</v>
      </c>
      <c r="D18" s="104">
        <v>12638</v>
      </c>
      <c r="E18" s="104">
        <v>10987</v>
      </c>
      <c r="F18" s="104">
        <v>9616</v>
      </c>
      <c r="G18" s="104">
        <v>9173</v>
      </c>
      <c r="H18" s="104">
        <v>8412</v>
      </c>
      <c r="I18" s="104">
        <v>8432</v>
      </c>
      <c r="J18" s="104">
        <v>8971</v>
      </c>
      <c r="K18" s="104">
        <v>6738</v>
      </c>
      <c r="L18" s="104">
        <v>4584</v>
      </c>
      <c r="M18" s="105">
        <f t="shared" si="0"/>
        <v>-0.3196794300979519</v>
      </c>
      <c r="N18" s="106">
        <f t="shared" si="1"/>
        <v>7.6</v>
      </c>
      <c r="O18" s="8"/>
    </row>
    <row r="19" spans="1:15" ht="12.75">
      <c r="A19" s="7"/>
      <c r="B19" s="2" t="s">
        <v>78</v>
      </c>
      <c r="C19" s="104">
        <v>3058</v>
      </c>
      <c r="D19" s="104">
        <v>3586</v>
      </c>
      <c r="E19" s="104">
        <v>3368</v>
      </c>
      <c r="F19" s="104">
        <v>3109</v>
      </c>
      <c r="G19" s="104">
        <v>3008</v>
      </c>
      <c r="H19" s="104">
        <v>2820</v>
      </c>
      <c r="I19" s="104">
        <v>2999</v>
      </c>
      <c r="J19" s="104">
        <v>3057</v>
      </c>
      <c r="K19" s="104">
        <v>3473</v>
      </c>
      <c r="L19" s="104">
        <v>3435</v>
      </c>
      <c r="M19" s="105">
        <f t="shared" si="0"/>
        <v>-0.010941549093003168</v>
      </c>
      <c r="N19" s="106">
        <f t="shared" si="1"/>
        <v>5.7</v>
      </c>
      <c r="O19" s="8"/>
    </row>
    <row r="20" spans="1:15" ht="12.75">
      <c r="A20" s="7"/>
      <c r="B20" s="2" t="s">
        <v>79</v>
      </c>
      <c r="C20" s="104">
        <v>233</v>
      </c>
      <c r="D20" s="104">
        <v>219</v>
      </c>
      <c r="E20" s="104">
        <v>227</v>
      </c>
      <c r="F20" s="104">
        <v>129</v>
      </c>
      <c r="G20" s="104">
        <v>161</v>
      </c>
      <c r="H20" s="104">
        <v>186</v>
      </c>
      <c r="I20" s="104">
        <v>227</v>
      </c>
      <c r="J20" s="104">
        <v>379</v>
      </c>
      <c r="K20" s="104">
        <v>463</v>
      </c>
      <c r="L20" s="104">
        <v>610</v>
      </c>
      <c r="M20" s="105">
        <f t="shared" si="0"/>
        <v>0.3174946004319654</v>
      </c>
      <c r="N20" s="106">
        <f t="shared" si="1"/>
        <v>1</v>
      </c>
      <c r="O20" s="8"/>
    </row>
    <row r="21" spans="1:15" ht="12.75">
      <c r="A21" s="7"/>
      <c r="B21" s="2" t="s">
        <v>80</v>
      </c>
      <c r="C21" s="104">
        <v>729</v>
      </c>
      <c r="D21" s="104">
        <v>872</v>
      </c>
      <c r="E21" s="104">
        <v>462</v>
      </c>
      <c r="F21" s="104">
        <v>608</v>
      </c>
      <c r="G21" s="104">
        <v>764</v>
      </c>
      <c r="H21" s="104">
        <v>468</v>
      </c>
      <c r="I21" s="104">
        <v>472</v>
      </c>
      <c r="J21" s="104">
        <v>778</v>
      </c>
      <c r="K21" s="104">
        <v>693</v>
      </c>
      <c r="L21" s="104">
        <v>228</v>
      </c>
      <c r="M21" s="105">
        <f t="shared" si="0"/>
        <v>-0.670995670995671</v>
      </c>
      <c r="N21" s="106">
        <f t="shared" si="1"/>
        <v>0.4</v>
      </c>
      <c r="O21" s="8"/>
    </row>
    <row r="22" spans="1:15" ht="13.5">
      <c r="A22" s="7"/>
      <c r="B22" s="47"/>
      <c r="C22" s="47"/>
      <c r="D22" s="47"/>
      <c r="E22" s="107"/>
      <c r="F22" s="107"/>
      <c r="G22" s="107"/>
      <c r="H22" s="107"/>
      <c r="I22" s="107"/>
      <c r="J22" s="107"/>
      <c r="K22" s="107"/>
      <c r="L22" s="107"/>
      <c r="M22" s="107"/>
      <c r="N22" s="108"/>
      <c r="O22" s="8"/>
    </row>
    <row r="23" spans="1:15" ht="12.75">
      <c r="A23" s="7"/>
      <c r="B23" s="109" t="s">
        <v>81</v>
      </c>
      <c r="C23" s="110">
        <f aca="true" t="shared" si="2" ref="C23:L23">SUM(C5:C21)</f>
        <v>66569</v>
      </c>
      <c r="D23" s="110">
        <f t="shared" si="2"/>
        <v>72013</v>
      </c>
      <c r="E23" s="110">
        <f t="shared" si="2"/>
        <v>64318</v>
      </c>
      <c r="F23" s="110">
        <f t="shared" si="2"/>
        <v>57071</v>
      </c>
      <c r="G23" s="110">
        <f t="shared" si="2"/>
        <v>55374</v>
      </c>
      <c r="H23" s="110">
        <f t="shared" si="2"/>
        <v>50393</v>
      </c>
      <c r="I23" s="110">
        <f t="shared" si="2"/>
        <v>54296</v>
      </c>
      <c r="J23" s="110">
        <f t="shared" si="2"/>
        <v>58037</v>
      </c>
      <c r="K23" s="110">
        <f t="shared" si="2"/>
        <v>60758</v>
      </c>
      <c r="L23" s="110">
        <f t="shared" si="2"/>
        <v>59964</v>
      </c>
      <c r="M23" s="111">
        <f>(L23-K23)/K23</f>
        <v>-0.013068237927515719</v>
      </c>
      <c r="N23" s="112">
        <f>ROUND(J23/$J$23*100,1)</f>
        <v>100</v>
      </c>
      <c r="O23" s="8"/>
    </row>
    <row r="24" spans="1:15" ht="12.75">
      <c r="A24" s="7"/>
      <c r="B24" s="2"/>
      <c r="C24" s="2"/>
      <c r="D24" s="2"/>
      <c r="E24" s="20"/>
      <c r="F24" s="21"/>
      <c r="G24" s="21"/>
      <c r="H24" s="21"/>
      <c r="I24" s="21"/>
      <c r="J24" s="21"/>
      <c r="K24" s="21"/>
      <c r="L24" s="21"/>
      <c r="M24" s="21"/>
      <c r="N24" s="113"/>
      <c r="O24" s="8"/>
    </row>
    <row r="25" spans="1:15" ht="12.75">
      <c r="A25" s="7"/>
      <c r="B25" s="2" t="s">
        <v>57</v>
      </c>
      <c r="C25" s="2"/>
      <c r="D25" s="2"/>
      <c r="E25" s="20"/>
      <c r="F25" s="21"/>
      <c r="G25" s="21"/>
      <c r="H25" s="21"/>
      <c r="I25" s="21"/>
      <c r="J25" s="21"/>
      <c r="K25" s="21"/>
      <c r="L25" s="21"/>
      <c r="M25" s="21"/>
      <c r="N25" s="21"/>
      <c r="O25" s="8"/>
    </row>
    <row r="26" spans="1:15" ht="12.75">
      <c r="A26" s="13"/>
      <c r="B26" s="53" t="s">
        <v>82</v>
      </c>
      <c r="C26" s="53"/>
      <c r="D26" s="53"/>
      <c r="E26" s="55"/>
      <c r="F26" s="56"/>
      <c r="G26" s="56"/>
      <c r="H26" s="56"/>
      <c r="I26" s="56"/>
      <c r="J26" s="56"/>
      <c r="K26" s="56"/>
      <c r="L26" s="56"/>
      <c r="M26" s="56"/>
      <c r="N26" s="56"/>
      <c r="O26" s="58"/>
    </row>
  </sheetData>
  <mergeCells count="1">
    <mergeCell ref="B1:N1"/>
  </mergeCells>
  <printOptions/>
  <pageMargins left="0.7086613774299622" right="0.7086613774299622" top="0.748031497001648" bottom="0.748031497001648" header="0.31496068835258484" footer="0.31496068835258484"/>
  <pageSetup firstPageNumber="1" useFirstPageNumber="1" orientation="landscape" paperSize="9" scale="6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5.3984375" style="114" customWidth="1"/>
    <col min="2" max="2" width="17.69921875" style="114" customWidth="1"/>
    <col min="3" max="3" width="24.3984375" style="114" customWidth="1"/>
    <col min="4" max="9" width="9.19921875" style="114" customWidth="1"/>
    <col min="10" max="11" width="7.59765625" style="114" customWidth="1"/>
    <col min="12" max="256" width="10.296875" style="114" customWidth="1"/>
  </cols>
  <sheetData>
    <row r="1" spans="1:11" ht="42" customHeight="1">
      <c r="A1" s="115"/>
      <c r="B1" s="116" t="s">
        <v>83</v>
      </c>
      <c r="C1" s="116"/>
      <c r="D1" s="116"/>
      <c r="E1" s="116"/>
      <c r="F1" s="116"/>
      <c r="G1" s="116"/>
      <c r="H1" s="116"/>
      <c r="I1" s="116"/>
      <c r="J1" s="116"/>
      <c r="K1" s="116"/>
    </row>
    <row r="2" spans="1:11" ht="12.75">
      <c r="A2" s="115"/>
      <c r="B2" s="117"/>
      <c r="C2" s="118"/>
      <c r="D2" s="119"/>
      <c r="E2" s="120"/>
      <c r="F2" s="120"/>
      <c r="G2" s="120"/>
      <c r="H2" s="120"/>
      <c r="I2" s="120"/>
      <c r="J2" s="120"/>
      <c r="K2" s="115"/>
    </row>
    <row r="3" spans="1:11" ht="51.75">
      <c r="A3" s="121"/>
      <c r="B3" s="122" t="s">
        <v>36</v>
      </c>
      <c r="C3" s="122"/>
      <c r="D3" s="123">
        <v>2007</v>
      </c>
      <c r="E3" s="123">
        <v>2008</v>
      </c>
      <c r="F3" s="123">
        <v>2009</v>
      </c>
      <c r="G3" s="123">
        <v>2010</v>
      </c>
      <c r="H3" s="123">
        <v>2011</v>
      </c>
      <c r="I3" s="123">
        <v>2012</v>
      </c>
      <c r="J3" s="124" t="s">
        <v>55</v>
      </c>
      <c r="K3" s="125"/>
    </row>
    <row r="4" spans="1:11" ht="12.75">
      <c r="A4" s="115"/>
      <c r="B4" s="126" t="s">
        <v>37</v>
      </c>
      <c r="C4" s="127" t="s">
        <v>38</v>
      </c>
      <c r="D4" s="128">
        <v>2466</v>
      </c>
      <c r="E4" s="128">
        <v>2241</v>
      </c>
      <c r="F4" s="128">
        <v>1843</v>
      </c>
      <c r="G4" s="128">
        <v>1959</v>
      </c>
      <c r="H4" s="128">
        <v>1604</v>
      </c>
      <c r="I4" s="128">
        <v>1344</v>
      </c>
      <c r="J4" s="129">
        <f>(I4-H4)/H4</f>
        <v>-0.16209476309226933</v>
      </c>
      <c r="K4" s="115"/>
    </row>
    <row r="5" spans="1:11" ht="12.75">
      <c r="A5" s="115"/>
      <c r="B5" s="130"/>
      <c r="C5" s="131" t="s">
        <v>39</v>
      </c>
      <c r="D5" s="132">
        <v>9182</v>
      </c>
      <c r="E5" s="132">
        <v>8869</v>
      </c>
      <c r="F5" s="132">
        <v>9168</v>
      </c>
      <c r="G5" s="132">
        <v>9558</v>
      </c>
      <c r="H5" s="132">
        <v>9319</v>
      </c>
      <c r="I5" s="132">
        <v>9429</v>
      </c>
      <c r="J5" s="133">
        <f aca="true" t="shared" si="0" ref="J5:J22">(I5-H5)/H5</f>
        <v>0.011803841613907072</v>
      </c>
      <c r="K5" s="115"/>
    </row>
    <row r="6" spans="1:11" ht="12.75">
      <c r="A6" s="115"/>
      <c r="B6" s="134" t="s">
        <v>40</v>
      </c>
      <c r="C6" s="134"/>
      <c r="D6" s="135">
        <f>SUM(D4:D5)</f>
        <v>11648</v>
      </c>
      <c r="E6" s="135">
        <f>SUM(E4:E5)</f>
        <v>11110</v>
      </c>
      <c r="F6" s="135">
        <f>SUM(F4:F5)</f>
        <v>11011</v>
      </c>
      <c r="G6" s="135">
        <f>SUM(G4:G5)</f>
        <v>11517</v>
      </c>
      <c r="H6" s="135">
        <f>SUM(H4:H5)</f>
        <v>10923</v>
      </c>
      <c r="I6" s="135">
        <f>SUM(I4:I5)</f>
        <v>10773</v>
      </c>
      <c r="J6" s="136">
        <f t="shared" si="0"/>
        <v>-0.013732491073880802</v>
      </c>
      <c r="K6" s="115"/>
    </row>
    <row r="7" spans="1:11" ht="12.75">
      <c r="A7" s="115"/>
      <c r="B7" s="137"/>
      <c r="C7" s="137"/>
      <c r="D7" s="138"/>
      <c r="E7" s="138"/>
      <c r="F7" s="138"/>
      <c r="G7" s="138"/>
      <c r="H7" s="138"/>
      <c r="I7" s="138"/>
      <c r="J7" s="139"/>
      <c r="K7" s="115"/>
    </row>
    <row r="8" spans="1:11" ht="25.5">
      <c r="A8" s="115"/>
      <c r="B8" s="140" t="s">
        <v>41</v>
      </c>
      <c r="C8" s="115" t="s">
        <v>42</v>
      </c>
      <c r="D8" s="141">
        <v>6524</v>
      </c>
      <c r="E8" s="141">
        <v>6072</v>
      </c>
      <c r="F8" s="141">
        <v>6386</v>
      </c>
      <c r="G8" s="141">
        <v>7365</v>
      </c>
      <c r="H8" s="141">
        <v>7534</v>
      </c>
      <c r="I8" s="141">
        <v>7601</v>
      </c>
      <c r="J8" s="139">
        <f t="shared" si="0"/>
        <v>0.0088930183169631</v>
      </c>
      <c r="K8" s="115"/>
    </row>
    <row r="9" spans="1:11" ht="12.75">
      <c r="A9" s="115"/>
      <c r="B9" s="115"/>
      <c r="C9" s="115" t="s">
        <v>43</v>
      </c>
      <c r="D9" s="141"/>
      <c r="E9" s="141"/>
      <c r="F9" s="141"/>
      <c r="G9" s="141"/>
      <c r="H9" s="141"/>
      <c r="I9" s="141"/>
      <c r="J9" s="139"/>
      <c r="K9" s="115"/>
    </row>
    <row r="10" spans="1:11" ht="12.75">
      <c r="A10" s="115"/>
      <c r="B10" s="115"/>
      <c r="C10" s="115" t="s">
        <v>44</v>
      </c>
      <c r="D10" s="141">
        <v>17738</v>
      </c>
      <c r="E10" s="141">
        <v>14815</v>
      </c>
      <c r="F10" s="141">
        <v>14879</v>
      </c>
      <c r="G10" s="141">
        <v>15425</v>
      </c>
      <c r="H10" s="141">
        <v>14897</v>
      </c>
      <c r="I10" s="141">
        <v>15040</v>
      </c>
      <c r="J10" s="139">
        <f t="shared" si="0"/>
        <v>0.009599248170772639</v>
      </c>
      <c r="K10" s="115"/>
    </row>
    <row r="11" spans="1:11" ht="12.75">
      <c r="A11" s="115"/>
      <c r="B11" s="115"/>
      <c r="C11" s="131" t="s">
        <v>45</v>
      </c>
      <c r="D11" s="132"/>
      <c r="E11" s="132"/>
      <c r="F11" s="132"/>
      <c r="G11" s="132"/>
      <c r="H11" s="132"/>
      <c r="I11" s="132"/>
      <c r="J11" s="133"/>
      <c r="K11" s="115"/>
    </row>
    <row r="12" spans="1:11" ht="12.75">
      <c r="A12" s="115"/>
      <c r="B12" s="137"/>
      <c r="C12" s="134" t="s">
        <v>46</v>
      </c>
      <c r="D12" s="135">
        <f aca="true" t="shared" si="1" ref="D12:I12">SUM(D8:D10)</f>
        <v>24262</v>
      </c>
      <c r="E12" s="135">
        <f t="shared" si="1"/>
        <v>20887</v>
      </c>
      <c r="F12" s="135">
        <f t="shared" si="1"/>
        <v>21265</v>
      </c>
      <c r="G12" s="135">
        <f t="shared" si="1"/>
        <v>22790</v>
      </c>
      <c r="H12" s="135">
        <f t="shared" si="1"/>
        <v>22431</v>
      </c>
      <c r="I12" s="135">
        <f t="shared" si="1"/>
        <v>22641</v>
      </c>
      <c r="J12" s="136">
        <f t="shared" si="0"/>
        <v>0.009362043600374481</v>
      </c>
      <c r="K12" s="115"/>
    </row>
    <row r="13" spans="1:11" ht="12.75">
      <c r="A13" s="115"/>
      <c r="B13" s="115"/>
      <c r="C13" s="115"/>
      <c r="D13" s="142"/>
      <c r="E13" s="142"/>
      <c r="F13" s="142"/>
      <c r="G13" s="142"/>
      <c r="H13" s="142"/>
      <c r="I13" s="142"/>
      <c r="J13" s="139"/>
      <c r="K13" s="115"/>
    </row>
    <row r="14" spans="1:11" ht="38.25">
      <c r="A14" s="115"/>
      <c r="B14" s="140" t="s">
        <v>47</v>
      </c>
      <c r="C14" s="115" t="s">
        <v>48</v>
      </c>
      <c r="D14" s="141">
        <f>4637+16</f>
        <v>4653</v>
      </c>
      <c r="E14" s="141">
        <f>4903+15</f>
        <v>4918</v>
      </c>
      <c r="F14" s="141">
        <f>6214+14</f>
        <v>6228</v>
      </c>
      <c r="G14" s="141">
        <f>6529+10</f>
        <v>6539</v>
      </c>
      <c r="H14" s="141">
        <f>7341+14</f>
        <v>7355</v>
      </c>
      <c r="I14" s="141">
        <v>8197</v>
      </c>
      <c r="J14" s="139">
        <f t="shared" si="0"/>
        <v>0.11447994561522773</v>
      </c>
      <c r="K14" s="115"/>
    </row>
    <row r="15" spans="1:11" ht="12.75">
      <c r="A15" s="115"/>
      <c r="B15" s="137"/>
      <c r="C15" s="131" t="s">
        <v>49</v>
      </c>
      <c r="D15" s="132">
        <v>13444</v>
      </c>
      <c r="E15" s="132">
        <v>11922</v>
      </c>
      <c r="F15" s="132">
        <v>13957</v>
      </c>
      <c r="G15" s="132">
        <v>15237</v>
      </c>
      <c r="H15" s="132">
        <v>17413</v>
      </c>
      <c r="I15" s="132">
        <v>15855</v>
      </c>
      <c r="J15" s="133">
        <f t="shared" si="0"/>
        <v>-0.08947338195600987</v>
      </c>
      <c r="K15" s="115"/>
    </row>
    <row r="16" spans="1:11" ht="12.75">
      <c r="A16" s="115"/>
      <c r="B16" s="137"/>
      <c r="C16" s="134" t="s">
        <v>50</v>
      </c>
      <c r="D16" s="135">
        <f aca="true" t="shared" si="2" ref="D16:I16">SUM(D14:D15)</f>
        <v>18097</v>
      </c>
      <c r="E16" s="135">
        <f t="shared" si="2"/>
        <v>16840</v>
      </c>
      <c r="F16" s="135">
        <f t="shared" si="2"/>
        <v>20185</v>
      </c>
      <c r="G16" s="135">
        <f t="shared" si="2"/>
        <v>21776</v>
      </c>
      <c r="H16" s="135">
        <f t="shared" si="2"/>
        <v>24768</v>
      </c>
      <c r="I16" s="135">
        <f t="shared" si="2"/>
        <v>24052</v>
      </c>
      <c r="J16" s="136">
        <f t="shared" si="0"/>
        <v>-0.02890826873385013</v>
      </c>
      <c r="K16" s="115"/>
    </row>
    <row r="17" spans="1:11" ht="12.75">
      <c r="A17" s="115"/>
      <c r="B17" s="115"/>
      <c r="C17" s="137"/>
      <c r="D17" s="138"/>
      <c r="E17" s="138"/>
      <c r="F17" s="138"/>
      <c r="G17" s="138"/>
      <c r="H17" s="138"/>
      <c r="I17" s="138"/>
      <c r="J17" s="139"/>
      <c r="K17" s="115"/>
    </row>
    <row r="18" spans="1:11" ht="12.75">
      <c r="A18" s="115"/>
      <c r="B18" s="137" t="s">
        <v>84</v>
      </c>
      <c r="C18" s="115"/>
      <c r="D18" s="141">
        <v>981</v>
      </c>
      <c r="E18" s="141">
        <v>1283</v>
      </c>
      <c r="F18" s="141">
        <v>1516</v>
      </c>
      <c r="G18" s="141">
        <v>1629</v>
      </c>
      <c r="H18" s="141">
        <v>2183</v>
      </c>
      <c r="I18" s="141">
        <v>2197</v>
      </c>
      <c r="J18" s="139">
        <f t="shared" si="0"/>
        <v>0.00641319285387082</v>
      </c>
      <c r="K18" s="115"/>
    </row>
    <row r="19" spans="1:11" ht="12.75">
      <c r="A19" s="115"/>
      <c r="B19" s="130"/>
      <c r="C19" s="130"/>
      <c r="D19" s="143"/>
      <c r="E19" s="143"/>
      <c r="F19" s="143"/>
      <c r="G19" s="143"/>
      <c r="H19" s="143"/>
      <c r="I19" s="143"/>
      <c r="J19" s="133"/>
      <c r="K19" s="115"/>
    </row>
    <row r="20" spans="1:11" ht="12.75">
      <c r="A20" s="115"/>
      <c r="B20" s="134" t="s">
        <v>52</v>
      </c>
      <c r="C20" s="134"/>
      <c r="D20" s="135">
        <f>D16+D12+D18</f>
        <v>43340</v>
      </c>
      <c r="E20" s="135">
        <f>E16+E12+E18</f>
        <v>39010</v>
      </c>
      <c r="F20" s="135">
        <f>F16+F12+F18</f>
        <v>42966</v>
      </c>
      <c r="G20" s="135">
        <f>G16+G12+G18</f>
        <v>46195</v>
      </c>
      <c r="H20" s="135">
        <f>H16+H12+H18</f>
        <v>49382</v>
      </c>
      <c r="I20" s="135">
        <f>I16+I12+I18</f>
        <v>48890</v>
      </c>
      <c r="J20" s="136">
        <f t="shared" si="0"/>
        <v>-0.00996314446559475</v>
      </c>
      <c r="K20" s="115"/>
    </row>
    <row r="21" spans="1:11" ht="13.5">
      <c r="A21" s="115"/>
      <c r="B21" s="144"/>
      <c r="C21" s="145"/>
      <c r="D21" s="146"/>
      <c r="E21" s="146"/>
      <c r="F21" s="146"/>
      <c r="G21" s="146"/>
      <c r="H21" s="146"/>
      <c r="I21" s="146"/>
      <c r="J21" s="139"/>
      <c r="K21" s="115"/>
    </row>
    <row r="22" spans="1:11" ht="12.75">
      <c r="A22" s="121"/>
      <c r="B22" s="147" t="s">
        <v>56</v>
      </c>
      <c r="C22" s="147"/>
      <c r="D22" s="148">
        <f>D20+D6</f>
        <v>54988</v>
      </c>
      <c r="E22" s="148">
        <f>E20+E6</f>
        <v>50120</v>
      </c>
      <c r="F22" s="148">
        <f>F20+F6</f>
        <v>53977</v>
      </c>
      <c r="G22" s="148">
        <f>G20+G6</f>
        <v>57712</v>
      </c>
      <c r="H22" s="148">
        <f>H20+H6</f>
        <v>60305</v>
      </c>
      <c r="I22" s="148">
        <f>I20+I6</f>
        <v>59663</v>
      </c>
      <c r="J22" s="149">
        <f t="shared" si="0"/>
        <v>-0.010645883425918249</v>
      </c>
      <c r="K22" s="115"/>
    </row>
    <row r="23" spans="1:11" ht="12.75">
      <c r="A23" s="115"/>
      <c r="B23" s="150"/>
      <c r="C23" s="151"/>
      <c r="D23" s="152"/>
      <c r="E23" s="152"/>
      <c r="F23" s="152"/>
      <c r="G23" s="152"/>
      <c r="H23" s="153"/>
      <c r="I23" s="153"/>
      <c r="J23" s="115"/>
      <c r="K23" s="115"/>
    </row>
    <row r="24" spans="1:11" ht="12.75">
      <c r="A24" s="115">
        <v>1</v>
      </c>
      <c r="B24" s="115" t="s">
        <v>85</v>
      </c>
      <c r="C24" s="154"/>
      <c r="D24" s="155"/>
      <c r="E24" s="115"/>
      <c r="F24" s="115"/>
      <c r="G24" s="115"/>
      <c r="H24" s="115"/>
      <c r="I24" s="115"/>
      <c r="J24" s="115"/>
      <c r="K24" s="115"/>
    </row>
    <row r="25" spans="1:11" ht="12.75" customHeight="1">
      <c r="A25" s="156">
        <v>2</v>
      </c>
      <c r="B25" s="157" t="s">
        <v>86</v>
      </c>
      <c r="C25" s="157"/>
      <c r="D25" s="157"/>
      <c r="E25" s="157"/>
      <c r="F25" s="157"/>
      <c r="G25" s="157"/>
      <c r="H25" s="157"/>
      <c r="I25" s="158"/>
      <c r="J25" s="115"/>
      <c r="K25" s="115"/>
    </row>
    <row r="26" spans="1:11" ht="12.75">
      <c r="A26" s="115"/>
      <c r="B26" s="115" t="s">
        <v>87</v>
      </c>
      <c r="C26" s="154"/>
      <c r="D26" s="155"/>
      <c r="E26" s="115"/>
      <c r="F26" s="115"/>
      <c r="G26" s="115"/>
      <c r="H26" s="115"/>
      <c r="I26" s="115"/>
      <c r="J26" s="115"/>
      <c r="K26" s="115"/>
    </row>
  </sheetData>
  <mergeCells count="4">
    <mergeCell ref="B1:K1"/>
    <mergeCell ref="B3:C3"/>
    <mergeCell ref="B22:C22"/>
    <mergeCell ref="B25:H25"/>
  </mergeCells>
  <printOptions/>
  <pageMargins left="0.7086613774299622" right="0.7086613774299622" top="0.748031497001648" bottom="0.748031497001648" header="0.31496068835258484" footer="0.31496068835258484"/>
  <pageSetup firstPageNumber="1" useFirstPageNumber="1" orientation="landscape" paperSize="9" scale="96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8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1.390625" style="159" customWidth="1"/>
    <col min="2" max="2" width="39.8984375" style="159" customWidth="1"/>
    <col min="3" max="8" width="9.19921875" style="159" customWidth="1"/>
    <col min="9" max="9" width="14.296875" style="159" customWidth="1"/>
    <col min="10" max="10" width="11.8984375" style="159" customWidth="1"/>
    <col min="11" max="12" width="7.59765625" style="159" customWidth="1"/>
    <col min="13" max="256" width="10.296875" style="159" customWidth="1"/>
  </cols>
  <sheetData>
    <row r="1" spans="1:12" ht="43.5" customHeight="1">
      <c r="A1" s="160"/>
      <c r="B1" s="17" t="s">
        <v>88</v>
      </c>
      <c r="C1" s="17"/>
      <c r="D1" s="17"/>
      <c r="E1" s="17"/>
      <c r="F1" s="17"/>
      <c r="G1" s="17"/>
      <c r="H1" s="17"/>
      <c r="I1" s="17"/>
      <c r="J1" s="5"/>
      <c r="K1" s="5"/>
      <c r="L1" s="6"/>
    </row>
    <row r="2" spans="1:12" ht="12.75">
      <c r="A2" s="161"/>
      <c r="B2" s="2"/>
      <c r="C2" s="21"/>
      <c r="D2" s="21"/>
      <c r="E2" s="21"/>
      <c r="F2" s="21"/>
      <c r="G2" s="21"/>
      <c r="H2" s="21"/>
      <c r="I2" s="21"/>
      <c r="J2" s="2"/>
      <c r="K2" s="2"/>
      <c r="L2" s="8"/>
    </row>
    <row r="3" spans="1:12" ht="26.25">
      <c r="A3" s="7"/>
      <c r="B3" s="97" t="s">
        <v>89</v>
      </c>
      <c r="C3" s="98">
        <v>2007</v>
      </c>
      <c r="D3" s="98">
        <v>2008</v>
      </c>
      <c r="E3" s="98">
        <v>2009</v>
      </c>
      <c r="F3" s="98">
        <v>2010</v>
      </c>
      <c r="G3" s="98">
        <v>2011</v>
      </c>
      <c r="H3" s="98">
        <v>2012</v>
      </c>
      <c r="I3" s="99" t="s">
        <v>63</v>
      </c>
      <c r="J3" s="2"/>
      <c r="K3" s="2"/>
      <c r="L3" s="8"/>
    </row>
    <row r="4" spans="1:12" ht="12.75">
      <c r="A4" s="41"/>
      <c r="B4" s="64" t="s">
        <v>90</v>
      </c>
      <c r="C4" s="162">
        <v>18090</v>
      </c>
      <c r="D4" s="162">
        <v>13372</v>
      </c>
      <c r="E4" s="162">
        <v>12999</v>
      </c>
      <c r="F4" s="162">
        <v>13553</v>
      </c>
      <c r="G4" s="162">
        <v>14922</v>
      </c>
      <c r="H4" s="162">
        <v>16831</v>
      </c>
      <c r="I4" s="103">
        <f aca="true" t="shared" si="0" ref="I4:I42">ROUND(H4/$H$45*100,1)</f>
        <v>28.2</v>
      </c>
      <c r="J4" s="2"/>
      <c r="K4" s="2"/>
      <c r="L4" s="8"/>
    </row>
    <row r="5" spans="1:12" ht="12.75">
      <c r="A5" s="7"/>
      <c r="B5" s="2" t="s">
        <v>91</v>
      </c>
      <c r="C5" s="163">
        <v>2028</v>
      </c>
      <c r="D5" s="163">
        <v>3176</v>
      </c>
      <c r="E5" s="163">
        <v>5093</v>
      </c>
      <c r="F5" s="163">
        <v>6110</v>
      </c>
      <c r="G5" s="163">
        <v>7936</v>
      </c>
      <c r="H5" s="163">
        <v>7676</v>
      </c>
      <c r="I5" s="106">
        <f t="shared" si="0"/>
        <v>12.9</v>
      </c>
      <c r="J5" s="2"/>
      <c r="K5" s="2"/>
      <c r="L5" s="8"/>
    </row>
    <row r="6" spans="1:12" ht="12.75">
      <c r="A6" s="7"/>
      <c r="B6" s="2" t="s">
        <v>92</v>
      </c>
      <c r="C6" s="163">
        <v>10499</v>
      </c>
      <c r="D6" s="163">
        <v>9810</v>
      </c>
      <c r="E6" s="163">
        <v>9416</v>
      </c>
      <c r="F6" s="163">
        <v>9375</v>
      </c>
      <c r="G6" s="163">
        <v>8059</v>
      </c>
      <c r="H6" s="163">
        <v>6463</v>
      </c>
      <c r="I6" s="106">
        <f t="shared" si="0"/>
        <v>10.8</v>
      </c>
      <c r="J6" s="2"/>
      <c r="K6" s="2"/>
      <c r="L6" s="8"/>
    </row>
    <row r="7" spans="1:12" ht="12.75">
      <c r="A7" s="7"/>
      <c r="B7" s="2" t="s">
        <v>93</v>
      </c>
      <c r="C7" s="163">
        <v>6220</v>
      </c>
      <c r="D7" s="163">
        <v>5595</v>
      </c>
      <c r="E7" s="163">
        <v>5564</v>
      </c>
      <c r="F7" s="163">
        <v>5421</v>
      </c>
      <c r="G7" s="163">
        <v>5271</v>
      </c>
      <c r="H7" s="163">
        <v>5655</v>
      </c>
      <c r="I7" s="106">
        <f t="shared" si="0"/>
        <v>9.5</v>
      </c>
      <c r="J7" s="2"/>
      <c r="K7" s="2"/>
      <c r="L7" s="8"/>
    </row>
    <row r="8" spans="1:12" ht="12.75">
      <c r="A8" s="7"/>
      <c r="B8" s="2" t="s">
        <v>94</v>
      </c>
      <c r="C8" s="163">
        <v>740</v>
      </c>
      <c r="D8" s="163">
        <v>1215</v>
      </c>
      <c r="E8" s="163">
        <v>2434</v>
      </c>
      <c r="F8" s="163">
        <v>2374</v>
      </c>
      <c r="G8" s="163">
        <v>2812</v>
      </c>
      <c r="H8" s="163">
        <v>2519</v>
      </c>
      <c r="I8" s="106">
        <f t="shared" si="0"/>
        <v>4.2</v>
      </c>
      <c r="J8" s="2"/>
      <c r="K8" s="2"/>
      <c r="L8" s="8"/>
    </row>
    <row r="9" spans="1:12" ht="12.75">
      <c r="A9" s="7"/>
      <c r="B9" s="2" t="s">
        <v>95</v>
      </c>
      <c r="C9" s="163">
        <v>1927</v>
      </c>
      <c r="D9" s="163">
        <v>1771</v>
      </c>
      <c r="E9" s="163">
        <v>2018</v>
      </c>
      <c r="F9" s="163">
        <v>2359</v>
      </c>
      <c r="G9" s="163">
        <v>2183</v>
      </c>
      <c r="H9" s="163">
        <v>2069</v>
      </c>
      <c r="I9" s="106">
        <f t="shared" si="0"/>
        <v>3.5</v>
      </c>
      <c r="J9" s="2"/>
      <c r="K9" s="2"/>
      <c r="L9" s="8"/>
    </row>
    <row r="10" spans="1:12" ht="12.75">
      <c r="A10" s="7"/>
      <c r="B10" s="2" t="s">
        <v>96</v>
      </c>
      <c r="C10" s="163">
        <v>1611</v>
      </c>
      <c r="D10" s="163">
        <v>1792</v>
      </c>
      <c r="E10" s="163">
        <v>1834</v>
      </c>
      <c r="F10" s="163">
        <v>2026</v>
      </c>
      <c r="G10" s="163">
        <v>1942</v>
      </c>
      <c r="H10" s="163">
        <v>1683</v>
      </c>
      <c r="I10" s="106">
        <f t="shared" si="0"/>
        <v>2.8</v>
      </c>
      <c r="J10" s="2"/>
      <c r="K10" s="2"/>
      <c r="L10" s="8"/>
    </row>
    <row r="11" spans="1:12" ht="12.75">
      <c r="A11" s="7"/>
      <c r="B11" s="2" t="s">
        <v>97</v>
      </c>
      <c r="C11" s="163">
        <v>1442</v>
      </c>
      <c r="D11" s="163">
        <v>1397</v>
      </c>
      <c r="E11" s="163">
        <v>1681</v>
      </c>
      <c r="F11" s="163">
        <v>1839</v>
      </c>
      <c r="G11" s="163">
        <v>1869</v>
      </c>
      <c r="H11" s="163">
        <v>1655</v>
      </c>
      <c r="I11" s="106">
        <f t="shared" si="0"/>
        <v>2.8</v>
      </c>
      <c r="J11" s="2"/>
      <c r="K11" s="2"/>
      <c r="L11" s="8"/>
    </row>
    <row r="12" spans="1:12" ht="12.75">
      <c r="A12" s="7"/>
      <c r="B12" s="2" t="s">
        <v>98</v>
      </c>
      <c r="C12" s="163">
        <v>707</v>
      </c>
      <c r="D12" s="163">
        <v>684</v>
      </c>
      <c r="E12" s="163">
        <v>885</v>
      </c>
      <c r="F12" s="163">
        <v>1258</v>
      </c>
      <c r="G12" s="163">
        <v>1455</v>
      </c>
      <c r="H12" s="163">
        <v>1553</v>
      </c>
      <c r="I12" s="106">
        <f t="shared" si="0"/>
        <v>2.6</v>
      </c>
      <c r="J12" s="2"/>
      <c r="K12" s="2"/>
      <c r="L12" s="8"/>
    </row>
    <row r="13" spans="1:12" ht="12.75">
      <c r="A13" s="7"/>
      <c r="B13" s="2" t="s">
        <v>99</v>
      </c>
      <c r="C13" s="163">
        <v>1080</v>
      </c>
      <c r="D13" s="163">
        <v>1052</v>
      </c>
      <c r="E13" s="163">
        <v>1350</v>
      </c>
      <c r="F13" s="163">
        <v>1532</v>
      </c>
      <c r="G13" s="163">
        <v>1756</v>
      </c>
      <c r="H13" s="163">
        <v>1528</v>
      </c>
      <c r="I13" s="106">
        <f t="shared" si="0"/>
        <v>2.6</v>
      </c>
      <c r="J13" s="2"/>
      <c r="K13" s="2"/>
      <c r="L13" s="8"/>
    </row>
    <row r="14" spans="1:12" ht="12.75">
      <c r="A14" s="7"/>
      <c r="B14" s="2" t="s">
        <v>100</v>
      </c>
      <c r="C14" s="163">
        <v>1604</v>
      </c>
      <c r="D14" s="163">
        <v>1536</v>
      </c>
      <c r="E14" s="163">
        <v>1539</v>
      </c>
      <c r="F14" s="163">
        <v>1618</v>
      </c>
      <c r="G14" s="163">
        <v>1461</v>
      </c>
      <c r="H14" s="163">
        <v>1287</v>
      </c>
      <c r="I14" s="106">
        <f t="shared" si="0"/>
        <v>2.2</v>
      </c>
      <c r="J14" s="2"/>
      <c r="K14" s="2"/>
      <c r="L14" s="8"/>
    </row>
    <row r="15" spans="1:12" ht="12.75">
      <c r="A15" s="7"/>
      <c r="B15" s="164" t="s">
        <v>101</v>
      </c>
      <c r="C15" s="163">
        <v>579</v>
      </c>
      <c r="D15" s="163">
        <v>495</v>
      </c>
      <c r="E15" s="163">
        <v>724</v>
      </c>
      <c r="F15" s="163">
        <v>838</v>
      </c>
      <c r="G15" s="163">
        <v>837</v>
      </c>
      <c r="H15" s="163">
        <v>915</v>
      </c>
      <c r="I15" s="106">
        <f t="shared" si="0"/>
        <v>1.5</v>
      </c>
      <c r="J15" s="2"/>
      <c r="K15" s="2"/>
      <c r="L15" s="8"/>
    </row>
    <row r="16" spans="1:12" ht="12.75">
      <c r="A16" s="7"/>
      <c r="B16" s="2" t="s">
        <v>102</v>
      </c>
      <c r="C16" s="163">
        <v>249</v>
      </c>
      <c r="D16" s="163">
        <v>378</v>
      </c>
      <c r="E16" s="163">
        <v>311</v>
      </c>
      <c r="F16" s="163">
        <v>366</v>
      </c>
      <c r="G16" s="163">
        <v>610</v>
      </c>
      <c r="H16" s="163">
        <v>788</v>
      </c>
      <c r="I16" s="106">
        <f t="shared" si="0"/>
        <v>1.3</v>
      </c>
      <c r="J16" s="2"/>
      <c r="K16" s="2"/>
      <c r="L16" s="8"/>
    </row>
    <row r="17" spans="1:12" ht="12.75">
      <c r="A17" s="7"/>
      <c r="B17" s="2" t="s">
        <v>103</v>
      </c>
      <c r="C17" s="163">
        <v>1303</v>
      </c>
      <c r="D17" s="163">
        <v>1014</v>
      </c>
      <c r="E17" s="163">
        <v>857</v>
      </c>
      <c r="F17" s="163">
        <v>960</v>
      </c>
      <c r="G17" s="163">
        <v>856</v>
      </c>
      <c r="H17" s="163">
        <v>764</v>
      </c>
      <c r="I17" s="106">
        <f t="shared" si="0"/>
        <v>1.3</v>
      </c>
      <c r="J17" s="2"/>
      <c r="K17" s="2"/>
      <c r="L17" s="8"/>
    </row>
    <row r="18" spans="1:12" ht="12.75">
      <c r="A18" s="7"/>
      <c r="B18" s="2" t="s">
        <v>104</v>
      </c>
      <c r="C18" s="163">
        <v>760</v>
      </c>
      <c r="D18" s="163">
        <v>672</v>
      </c>
      <c r="E18" s="163">
        <v>833</v>
      </c>
      <c r="F18" s="163">
        <v>867</v>
      </c>
      <c r="G18" s="163">
        <v>812</v>
      </c>
      <c r="H18" s="163">
        <v>673</v>
      </c>
      <c r="I18" s="106">
        <f t="shared" si="0"/>
        <v>1.1</v>
      </c>
      <c r="J18" s="2"/>
      <c r="K18" s="2"/>
      <c r="L18" s="8"/>
    </row>
    <row r="19" spans="1:12" ht="12.75">
      <c r="A19" s="7"/>
      <c r="B19" s="2" t="s">
        <v>105</v>
      </c>
      <c r="C19" s="163">
        <v>487</v>
      </c>
      <c r="D19" s="163">
        <v>539</v>
      </c>
      <c r="E19" s="163">
        <v>536</v>
      </c>
      <c r="F19" s="163">
        <v>539</v>
      </c>
      <c r="G19" s="163">
        <v>635</v>
      </c>
      <c r="H19" s="163">
        <v>607</v>
      </c>
      <c r="I19" s="106">
        <f t="shared" si="0"/>
        <v>1</v>
      </c>
      <c r="J19" s="2"/>
      <c r="K19" s="2"/>
      <c r="L19" s="8"/>
    </row>
    <row r="20" spans="1:12" ht="12.75">
      <c r="A20" s="7"/>
      <c r="B20" s="2" t="s">
        <v>106</v>
      </c>
      <c r="C20" s="163">
        <v>725</v>
      </c>
      <c r="D20" s="163">
        <v>609</v>
      </c>
      <c r="E20" s="163">
        <v>630</v>
      </c>
      <c r="F20" s="163">
        <v>624</v>
      </c>
      <c r="G20" s="163">
        <v>621</v>
      </c>
      <c r="H20" s="163">
        <v>534</v>
      </c>
      <c r="I20" s="106">
        <f t="shared" si="0"/>
        <v>0.9</v>
      </c>
      <c r="J20" s="2"/>
      <c r="K20" s="2"/>
      <c r="L20" s="8"/>
    </row>
    <row r="21" spans="1:12" ht="12.75">
      <c r="A21" s="7"/>
      <c r="B21" s="2" t="s">
        <v>107</v>
      </c>
      <c r="C21" s="163">
        <v>92</v>
      </c>
      <c r="D21" s="163">
        <v>113</v>
      </c>
      <c r="E21" s="163">
        <v>161</v>
      </c>
      <c r="F21" s="163">
        <v>210</v>
      </c>
      <c r="G21" s="163">
        <v>295</v>
      </c>
      <c r="H21" s="163">
        <v>500</v>
      </c>
      <c r="I21" s="106">
        <f t="shared" si="0"/>
        <v>0.8</v>
      </c>
      <c r="J21" s="2"/>
      <c r="K21" s="2"/>
      <c r="L21" s="8"/>
    </row>
    <row r="22" spans="1:12" ht="12.75">
      <c r="A22" s="7"/>
      <c r="B22" s="2" t="s">
        <v>108</v>
      </c>
      <c r="C22" s="163">
        <v>72</v>
      </c>
      <c r="D22" s="163">
        <v>141</v>
      </c>
      <c r="E22" s="163">
        <v>168</v>
      </c>
      <c r="F22" s="163">
        <v>230</v>
      </c>
      <c r="G22" s="163">
        <v>292</v>
      </c>
      <c r="H22" s="163">
        <v>467</v>
      </c>
      <c r="I22" s="106">
        <f t="shared" si="0"/>
        <v>0.8</v>
      </c>
      <c r="J22" s="2"/>
      <c r="K22" s="2"/>
      <c r="L22" s="8"/>
    </row>
    <row r="23" spans="1:12" ht="12.75">
      <c r="A23" s="7"/>
      <c r="B23" s="2" t="s">
        <v>109</v>
      </c>
      <c r="C23" s="163">
        <v>257</v>
      </c>
      <c r="D23" s="163">
        <v>281</v>
      </c>
      <c r="E23" s="163">
        <v>261</v>
      </c>
      <c r="F23" s="163">
        <v>323</v>
      </c>
      <c r="G23" s="163">
        <v>359</v>
      </c>
      <c r="H23" s="163">
        <v>391</v>
      </c>
      <c r="I23" s="106">
        <f t="shared" si="0"/>
        <v>0.7</v>
      </c>
      <c r="J23" s="2"/>
      <c r="K23" s="2"/>
      <c r="L23" s="8"/>
    </row>
    <row r="24" spans="1:12" ht="12.75">
      <c r="A24" s="7"/>
      <c r="B24" s="2" t="s">
        <v>110</v>
      </c>
      <c r="C24" s="163">
        <v>326</v>
      </c>
      <c r="D24" s="163">
        <v>299</v>
      </c>
      <c r="E24" s="163">
        <v>377</v>
      </c>
      <c r="F24" s="163">
        <v>322</v>
      </c>
      <c r="G24" s="163">
        <v>326</v>
      </c>
      <c r="H24" s="163">
        <v>381</v>
      </c>
      <c r="I24" s="106">
        <f t="shared" si="0"/>
        <v>0.6</v>
      </c>
      <c r="J24" s="2"/>
      <c r="K24" s="2"/>
      <c r="L24" s="8"/>
    </row>
    <row r="25" spans="1:12" ht="12.75">
      <c r="A25" s="7"/>
      <c r="B25" s="2" t="s">
        <v>111</v>
      </c>
      <c r="C25" s="163">
        <v>469</v>
      </c>
      <c r="D25" s="163">
        <v>433</v>
      </c>
      <c r="E25" s="163">
        <v>486</v>
      </c>
      <c r="F25" s="163">
        <v>407</v>
      </c>
      <c r="G25" s="163">
        <v>393</v>
      </c>
      <c r="H25" s="163">
        <v>373</v>
      </c>
      <c r="I25" s="106">
        <f t="shared" si="0"/>
        <v>0.6</v>
      </c>
      <c r="J25" s="2"/>
      <c r="K25" s="2"/>
      <c r="L25" s="8"/>
    </row>
    <row r="26" spans="1:12" ht="12.75">
      <c r="A26" s="7"/>
      <c r="B26" s="2" t="s">
        <v>112</v>
      </c>
      <c r="C26" s="163">
        <v>300</v>
      </c>
      <c r="D26" s="163">
        <v>315</v>
      </c>
      <c r="E26" s="163">
        <v>347</v>
      </c>
      <c r="F26" s="163">
        <v>307</v>
      </c>
      <c r="G26" s="163">
        <v>261</v>
      </c>
      <c r="H26" s="163">
        <v>238</v>
      </c>
      <c r="I26" s="106">
        <f t="shared" si="0"/>
        <v>0.4</v>
      </c>
      <c r="J26" s="2"/>
      <c r="K26" s="2"/>
      <c r="L26" s="8"/>
    </row>
    <row r="27" spans="1:12" ht="12.75">
      <c r="A27" s="7"/>
      <c r="B27" s="2" t="s">
        <v>113</v>
      </c>
      <c r="C27" s="163">
        <v>171</v>
      </c>
      <c r="D27" s="163">
        <v>160</v>
      </c>
      <c r="E27" s="163">
        <v>172</v>
      </c>
      <c r="F27" s="163">
        <v>180</v>
      </c>
      <c r="G27" s="163">
        <v>178</v>
      </c>
      <c r="H27" s="163">
        <v>203</v>
      </c>
      <c r="I27" s="106">
        <f t="shared" si="0"/>
        <v>0.3</v>
      </c>
      <c r="J27" s="2"/>
      <c r="K27" s="2"/>
      <c r="L27" s="8"/>
    </row>
    <row r="28" spans="1:12" ht="12.75">
      <c r="A28" s="7"/>
      <c r="B28" s="2" t="s">
        <v>114</v>
      </c>
      <c r="C28" s="163">
        <v>20</v>
      </c>
      <c r="D28" s="163">
        <v>35</v>
      </c>
      <c r="E28" s="163">
        <v>44</v>
      </c>
      <c r="F28" s="163">
        <v>51</v>
      </c>
      <c r="G28" s="163">
        <v>143</v>
      </c>
      <c r="H28" s="163">
        <v>186</v>
      </c>
      <c r="I28" s="106">
        <f t="shared" si="0"/>
        <v>0.3</v>
      </c>
      <c r="J28" s="2"/>
      <c r="K28" s="2"/>
      <c r="L28" s="8"/>
    </row>
    <row r="29" spans="1:12" ht="12.75">
      <c r="A29" s="7"/>
      <c r="B29" s="2" t="s">
        <v>115</v>
      </c>
      <c r="C29" s="163">
        <v>5</v>
      </c>
      <c r="D29" s="163">
        <v>6</v>
      </c>
      <c r="E29" s="163">
        <v>9</v>
      </c>
      <c r="F29" s="163">
        <v>37</v>
      </c>
      <c r="G29" s="163">
        <v>109</v>
      </c>
      <c r="H29" s="163">
        <v>178</v>
      </c>
      <c r="I29" s="106">
        <f t="shared" si="0"/>
        <v>0.3</v>
      </c>
      <c r="J29" s="2"/>
      <c r="K29" s="2"/>
      <c r="L29" s="8"/>
    </row>
    <row r="30" spans="1:12" ht="12.75">
      <c r="A30" s="7"/>
      <c r="B30" s="2" t="s">
        <v>116</v>
      </c>
      <c r="C30" s="163">
        <v>357</v>
      </c>
      <c r="D30" s="163">
        <v>168</v>
      </c>
      <c r="E30" s="163">
        <v>164</v>
      </c>
      <c r="F30" s="163">
        <v>555</v>
      </c>
      <c r="G30" s="163">
        <v>547</v>
      </c>
      <c r="H30" s="163">
        <v>171</v>
      </c>
      <c r="I30" s="106">
        <f t="shared" si="0"/>
        <v>0.3</v>
      </c>
      <c r="J30" s="2"/>
      <c r="K30" s="2"/>
      <c r="L30" s="8"/>
    </row>
    <row r="31" spans="1:12" ht="12.75">
      <c r="A31" s="7"/>
      <c r="B31" s="2" t="s">
        <v>117</v>
      </c>
      <c r="C31" s="163">
        <v>28</v>
      </c>
      <c r="D31" s="163">
        <v>63</v>
      </c>
      <c r="E31" s="163">
        <v>118</v>
      </c>
      <c r="F31" s="163">
        <v>117</v>
      </c>
      <c r="G31" s="163">
        <v>128</v>
      </c>
      <c r="H31" s="163">
        <v>171</v>
      </c>
      <c r="I31" s="106">
        <f t="shared" si="0"/>
        <v>0.3</v>
      </c>
      <c r="J31" s="2"/>
      <c r="K31" s="2"/>
      <c r="L31" s="8"/>
    </row>
    <row r="32" spans="1:12" ht="12.75">
      <c r="A32" s="7"/>
      <c r="B32" s="2" t="s">
        <v>118</v>
      </c>
      <c r="C32" s="163">
        <v>127</v>
      </c>
      <c r="D32" s="163">
        <v>88</v>
      </c>
      <c r="E32" s="163">
        <v>141</v>
      </c>
      <c r="F32" s="163">
        <v>116</v>
      </c>
      <c r="G32" s="163">
        <v>117</v>
      </c>
      <c r="H32" s="163">
        <v>166</v>
      </c>
      <c r="I32" s="106">
        <f t="shared" si="0"/>
        <v>0.3</v>
      </c>
      <c r="J32" s="2"/>
      <c r="K32" s="2"/>
      <c r="L32" s="8"/>
    </row>
    <row r="33" spans="1:12" ht="12.75">
      <c r="A33" s="7"/>
      <c r="B33" s="2" t="s">
        <v>119</v>
      </c>
      <c r="C33" s="163">
        <v>176</v>
      </c>
      <c r="D33" s="163">
        <v>191</v>
      </c>
      <c r="E33" s="163">
        <v>199</v>
      </c>
      <c r="F33" s="163">
        <v>177</v>
      </c>
      <c r="G33" s="163">
        <v>171</v>
      </c>
      <c r="H33" s="163">
        <v>158</v>
      </c>
      <c r="I33" s="106">
        <f t="shared" si="0"/>
        <v>0.3</v>
      </c>
      <c r="J33" s="2"/>
      <c r="K33" s="2"/>
      <c r="L33" s="8"/>
    </row>
    <row r="34" spans="1:12" ht="12.75">
      <c r="A34" s="7"/>
      <c r="B34" s="2" t="s">
        <v>120</v>
      </c>
      <c r="C34" s="163">
        <v>47</v>
      </c>
      <c r="D34" s="163">
        <v>41</v>
      </c>
      <c r="E34" s="163">
        <v>58</v>
      </c>
      <c r="F34" s="163">
        <v>77</v>
      </c>
      <c r="G34" s="163">
        <v>93</v>
      </c>
      <c r="H34" s="163">
        <v>146</v>
      </c>
      <c r="I34" s="106">
        <f t="shared" si="0"/>
        <v>0.2</v>
      </c>
      <c r="J34" s="2"/>
      <c r="K34" s="2"/>
      <c r="L34" s="8"/>
    </row>
    <row r="35" spans="1:12" ht="12.75">
      <c r="A35" s="7"/>
      <c r="B35" s="2" t="s">
        <v>121</v>
      </c>
      <c r="C35" s="163">
        <v>123</v>
      </c>
      <c r="D35" s="163">
        <v>97</v>
      </c>
      <c r="E35" s="163">
        <v>110</v>
      </c>
      <c r="F35" s="163">
        <v>117</v>
      </c>
      <c r="G35" s="163">
        <v>119</v>
      </c>
      <c r="H35" s="163">
        <v>146</v>
      </c>
      <c r="I35" s="106">
        <f t="shared" si="0"/>
        <v>0.2</v>
      </c>
      <c r="J35" s="2"/>
      <c r="K35" s="2"/>
      <c r="L35" s="8"/>
    </row>
    <row r="36" spans="1:12" ht="12.75">
      <c r="A36" s="7"/>
      <c r="B36" s="2" t="s">
        <v>122</v>
      </c>
      <c r="C36" s="163">
        <v>152</v>
      </c>
      <c r="D36" s="163">
        <v>137</v>
      </c>
      <c r="E36" s="163">
        <v>116</v>
      </c>
      <c r="F36" s="163">
        <v>152</v>
      </c>
      <c r="G36" s="163">
        <v>147</v>
      </c>
      <c r="H36" s="163">
        <v>143</v>
      </c>
      <c r="I36" s="106">
        <f t="shared" si="0"/>
        <v>0.2</v>
      </c>
      <c r="J36" s="2"/>
      <c r="K36" s="2"/>
      <c r="L36" s="8"/>
    </row>
    <row r="37" spans="1:12" ht="12.75">
      <c r="A37" s="7"/>
      <c r="B37" s="2" t="s">
        <v>123</v>
      </c>
      <c r="C37" s="163">
        <v>116</v>
      </c>
      <c r="D37" s="163">
        <v>152</v>
      </c>
      <c r="E37" s="163">
        <v>206</v>
      </c>
      <c r="F37" s="163">
        <v>179</v>
      </c>
      <c r="G37" s="163">
        <v>120</v>
      </c>
      <c r="H37" s="163">
        <v>127</v>
      </c>
      <c r="I37" s="106">
        <f t="shared" si="0"/>
        <v>0.2</v>
      </c>
      <c r="J37" s="2"/>
      <c r="K37" s="2"/>
      <c r="L37" s="8"/>
    </row>
    <row r="38" spans="1:12" ht="12.75">
      <c r="A38" s="7"/>
      <c r="B38" s="2" t="s">
        <v>124</v>
      </c>
      <c r="C38" s="163">
        <v>70</v>
      </c>
      <c r="D38" s="163">
        <v>78</v>
      </c>
      <c r="E38" s="163">
        <v>65</v>
      </c>
      <c r="F38" s="163">
        <v>62</v>
      </c>
      <c r="G38" s="163">
        <v>104</v>
      </c>
      <c r="H38" s="163">
        <v>126</v>
      </c>
      <c r="I38" s="106">
        <f t="shared" si="0"/>
        <v>0.2</v>
      </c>
      <c r="J38" s="2"/>
      <c r="K38" s="2"/>
      <c r="L38" s="8"/>
    </row>
    <row r="39" spans="1:12" ht="12.75">
      <c r="A39" s="7"/>
      <c r="B39" s="2" t="s">
        <v>125</v>
      </c>
      <c r="C39" s="163">
        <v>52</v>
      </c>
      <c r="D39" s="163">
        <v>92</v>
      </c>
      <c r="E39" s="163">
        <v>67</v>
      </c>
      <c r="F39" s="163">
        <v>84</v>
      </c>
      <c r="G39" s="163">
        <v>99</v>
      </c>
      <c r="H39" s="163">
        <v>110</v>
      </c>
      <c r="I39" s="106">
        <f t="shared" si="0"/>
        <v>0.2</v>
      </c>
      <c r="J39" s="2"/>
      <c r="K39" s="72"/>
      <c r="L39" s="165"/>
    </row>
    <row r="40" spans="1:12" ht="12.75">
      <c r="A40" s="7"/>
      <c r="B40" s="2" t="s">
        <v>126</v>
      </c>
      <c r="C40" s="163">
        <v>123</v>
      </c>
      <c r="D40" s="163">
        <v>96</v>
      </c>
      <c r="E40" s="163">
        <v>88</v>
      </c>
      <c r="F40" s="163">
        <v>92</v>
      </c>
      <c r="G40" s="163">
        <v>152</v>
      </c>
      <c r="H40" s="163">
        <v>104</v>
      </c>
      <c r="I40" s="106">
        <f t="shared" si="0"/>
        <v>0.2</v>
      </c>
      <c r="J40" s="2"/>
      <c r="K40" s="2"/>
      <c r="L40" s="8"/>
    </row>
    <row r="41" spans="1:12" ht="12.75">
      <c r="A41" s="7"/>
      <c r="B41" s="2" t="s">
        <v>127</v>
      </c>
      <c r="C41" s="163">
        <v>95</v>
      </c>
      <c r="D41" s="163">
        <v>96</v>
      </c>
      <c r="E41" s="163">
        <v>80</v>
      </c>
      <c r="F41" s="163">
        <v>86</v>
      </c>
      <c r="G41" s="163">
        <v>102</v>
      </c>
      <c r="H41" s="163">
        <v>103</v>
      </c>
      <c r="I41" s="106">
        <f t="shared" si="0"/>
        <v>0.2</v>
      </c>
      <c r="J41" s="2"/>
      <c r="K41" s="72"/>
      <c r="L41" s="165"/>
    </row>
    <row r="42" spans="1:12" ht="12.75">
      <c r="A42" s="7"/>
      <c r="B42" s="2" t="s">
        <v>128</v>
      </c>
      <c r="C42" s="163">
        <v>70</v>
      </c>
      <c r="D42" s="163">
        <v>94</v>
      </c>
      <c r="E42" s="163">
        <v>91</v>
      </c>
      <c r="F42" s="163">
        <v>106</v>
      </c>
      <c r="G42" s="163">
        <v>97</v>
      </c>
      <c r="H42" s="163">
        <v>101</v>
      </c>
      <c r="I42" s="106">
        <f t="shared" si="0"/>
        <v>0.2</v>
      </c>
      <c r="J42" s="2"/>
      <c r="K42" s="2"/>
      <c r="L42" s="8"/>
    </row>
    <row r="43" spans="1:12" ht="12.75">
      <c r="A43" s="7"/>
      <c r="B43" s="9" t="s">
        <v>129</v>
      </c>
      <c r="C43" s="163">
        <f>C45-(SUM(C4:C42))</f>
        <v>1689</v>
      </c>
      <c r="D43" s="163">
        <f>D45-(SUM(D4:D42))</f>
        <v>1837</v>
      </c>
      <c r="E43" s="163">
        <f>E45-(SUM(E4:E42))</f>
        <v>1745</v>
      </c>
      <c r="F43" s="163">
        <f>F45-(SUM(F4:F42))</f>
        <v>2066</v>
      </c>
      <c r="G43" s="163">
        <f>G45-(SUM(G4:G42))</f>
        <v>1916</v>
      </c>
      <c r="H43" s="163">
        <f>H45-(SUM(H4:H42))</f>
        <v>1774</v>
      </c>
      <c r="I43" s="106">
        <f>ROUND(H43/$H$45*100,1)</f>
        <v>3</v>
      </c>
      <c r="J43" s="2"/>
      <c r="K43" s="72"/>
      <c r="L43" s="165"/>
    </row>
    <row r="44" spans="1:12" ht="13.5">
      <c r="A44" s="7"/>
      <c r="B44" s="166"/>
      <c r="C44" s="107"/>
      <c r="D44" s="107"/>
      <c r="E44" s="107"/>
      <c r="F44" s="107"/>
      <c r="G44" s="107"/>
      <c r="H44" s="107"/>
      <c r="I44" s="167"/>
      <c r="J44" s="2"/>
      <c r="K44" s="2"/>
      <c r="L44" s="8"/>
    </row>
    <row r="45" spans="1:12" ht="12.75">
      <c r="A45" s="7"/>
      <c r="B45" s="109" t="s">
        <v>81</v>
      </c>
      <c r="C45" s="110">
        <v>54988</v>
      </c>
      <c r="D45" s="110">
        <v>50120</v>
      </c>
      <c r="E45" s="110">
        <v>53977</v>
      </c>
      <c r="F45" s="110">
        <v>57712</v>
      </c>
      <c r="G45" s="110">
        <v>60305</v>
      </c>
      <c r="H45" s="110">
        <v>59663</v>
      </c>
      <c r="I45" s="168">
        <f>ROUND(F45/$F$45*100,1)</f>
        <v>100</v>
      </c>
      <c r="J45" s="2"/>
      <c r="K45" s="2"/>
      <c r="L45" s="8"/>
    </row>
    <row r="46" spans="1:12" ht="12.75">
      <c r="A46" s="7"/>
      <c r="B46" s="2"/>
      <c r="C46" s="21"/>
      <c r="D46" s="21"/>
      <c r="E46" s="21"/>
      <c r="F46" s="21"/>
      <c r="G46" s="21"/>
      <c r="H46" s="21"/>
      <c r="I46" s="113"/>
      <c r="J46" s="2"/>
      <c r="K46" s="2"/>
      <c r="L46" s="8"/>
    </row>
    <row r="47" spans="1:12" ht="12.75">
      <c r="A47" s="7"/>
      <c r="B47" s="2"/>
      <c r="C47" s="21"/>
      <c r="D47" s="21"/>
      <c r="E47" s="21"/>
      <c r="F47" s="21"/>
      <c r="G47" s="21"/>
      <c r="H47" s="21"/>
      <c r="I47" s="21"/>
      <c r="J47" s="2"/>
      <c r="K47" s="2"/>
      <c r="L47" s="8"/>
    </row>
    <row r="48" spans="1:12" ht="12.75">
      <c r="A48" s="13"/>
      <c r="B48" s="169"/>
      <c r="C48" s="56"/>
      <c r="D48" s="56"/>
      <c r="E48" s="56"/>
      <c r="F48" s="56"/>
      <c r="G48" s="56"/>
      <c r="H48" s="56"/>
      <c r="I48" s="56"/>
      <c r="J48" s="53"/>
      <c r="K48" s="53"/>
      <c r="L48" s="58"/>
    </row>
  </sheetData>
  <mergeCells count="1">
    <mergeCell ref="B1:I1"/>
  </mergeCells>
  <printOptions/>
  <pageMargins left="0.7086613774299622" right="0.7086613774299622" top="0.748031497001648" bottom="0.748031497001648" header="0.31496068835258484" footer="0.31496068835258484"/>
  <pageSetup firstPageNumber="1" useFirstPageNumber="1" orientation="landscape" paperSize="9" scale="7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3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17.59765625" style="170" customWidth="1"/>
    <col min="2" max="9" width="9.19921875" style="170" customWidth="1"/>
    <col min="10" max="10" width="7.59765625" style="170" customWidth="1"/>
    <col min="11" max="256" width="10.296875" style="170" customWidth="1"/>
  </cols>
  <sheetData>
    <row r="1" spans="1:10" ht="12.75">
      <c r="A1" s="115"/>
      <c r="B1" s="115"/>
      <c r="C1" s="115"/>
      <c r="D1" s="115"/>
      <c r="E1" s="115"/>
      <c r="F1" s="115"/>
      <c r="G1" s="115"/>
      <c r="H1" s="115"/>
      <c r="I1" s="115"/>
      <c r="J1" s="115"/>
    </row>
    <row r="2" spans="1:10" ht="60.75" customHeight="1">
      <c r="A2" s="171" t="s">
        <v>130</v>
      </c>
      <c r="B2" s="171"/>
      <c r="C2" s="171"/>
      <c r="D2" s="171"/>
      <c r="E2" s="171"/>
      <c r="F2" s="171"/>
      <c r="G2" s="171"/>
      <c r="H2" s="171"/>
      <c r="I2" s="171"/>
      <c r="J2" s="116"/>
    </row>
    <row r="3" spans="1:10" ht="25.5">
      <c r="A3" s="172"/>
      <c r="B3" s="173" t="s">
        <v>131</v>
      </c>
      <c r="C3" s="174" t="s">
        <v>132</v>
      </c>
      <c r="D3" s="174" t="s">
        <v>133</v>
      </c>
      <c r="E3" s="174" t="s">
        <v>134</v>
      </c>
      <c r="F3" s="175" t="s">
        <v>135</v>
      </c>
      <c r="G3" s="175" t="s">
        <v>136</v>
      </c>
      <c r="H3" s="175" t="s">
        <v>84</v>
      </c>
      <c r="I3" s="175" t="s">
        <v>137</v>
      </c>
      <c r="J3" s="125"/>
    </row>
    <row r="4" spans="1:10" ht="12.75">
      <c r="A4" s="150" t="s">
        <v>138</v>
      </c>
      <c r="B4" s="153"/>
      <c r="C4" s="153"/>
      <c r="D4" s="153"/>
      <c r="E4" s="153"/>
      <c r="F4" s="176"/>
      <c r="G4" s="176"/>
      <c r="H4" s="176"/>
      <c r="I4" s="176"/>
      <c r="J4" s="115"/>
    </row>
    <row r="5" spans="1:10" ht="12.75">
      <c r="A5" s="177" t="s">
        <v>139</v>
      </c>
      <c r="B5" s="141">
        <v>61</v>
      </c>
      <c r="C5" s="141">
        <v>2495</v>
      </c>
      <c r="D5" s="141">
        <v>2533</v>
      </c>
      <c r="E5" s="141">
        <v>5689</v>
      </c>
      <c r="F5" s="141">
        <v>2183</v>
      </c>
      <c r="G5" s="141">
        <v>3258</v>
      </c>
      <c r="H5" s="141">
        <v>612</v>
      </c>
      <c r="I5" s="141">
        <f>SUM(B5:H5)</f>
        <v>16831</v>
      </c>
      <c r="J5" s="115"/>
    </row>
    <row r="6" spans="1:10" ht="12.75">
      <c r="A6" s="177" t="s">
        <v>140</v>
      </c>
      <c r="B6" s="139">
        <f>B5/$I5</f>
        <v>0.0036242647495692473</v>
      </c>
      <c r="C6" s="139">
        <f>C5/$I5</f>
        <v>0.14823836967500445</v>
      </c>
      <c r="D6" s="139">
        <f>D5/$I5</f>
        <v>0.15049610837145744</v>
      </c>
      <c r="E6" s="139">
        <f>E5/$I5</f>
        <v>0.33800724852949915</v>
      </c>
      <c r="F6" s="139">
        <f>F5/$I5</f>
        <v>0.12970114669360108</v>
      </c>
      <c r="G6" s="139">
        <f>G5/$I5</f>
        <v>0.19357138613273128</v>
      </c>
      <c r="H6" s="139">
        <f>H5/$I5</f>
        <v>0.03636147584813736</v>
      </c>
      <c r="I6" s="139">
        <f>SUM(B6:G6)</f>
        <v>0.9636385241518627</v>
      </c>
      <c r="J6" s="115"/>
    </row>
    <row r="7" spans="1:10" ht="12.75">
      <c r="A7" s="177" t="s">
        <v>141</v>
      </c>
      <c r="B7" s="139">
        <f>B5/B30</f>
        <v>0.04538690476190476</v>
      </c>
      <c r="C7" s="139">
        <f aca="true" t="shared" si="0" ref="C7:I7">C5/C30</f>
        <v>0.2646091844310107</v>
      </c>
      <c r="D7" s="139">
        <f t="shared" si="0"/>
        <v>0.3332456255755822</v>
      </c>
      <c r="E7" s="139">
        <f t="shared" si="0"/>
        <v>0.3782579787234043</v>
      </c>
      <c r="F7" s="139">
        <f t="shared" si="0"/>
        <v>0.2663169452238624</v>
      </c>
      <c r="G7" s="139">
        <f t="shared" si="0"/>
        <v>0.2054872280037843</v>
      </c>
      <c r="H7" s="139">
        <f>H5/H30</f>
        <v>0.27856167501137913</v>
      </c>
      <c r="I7" s="139">
        <f t="shared" si="0"/>
        <v>0.2821011347066021</v>
      </c>
      <c r="J7" s="115"/>
    </row>
    <row r="8" spans="1:10" ht="12.75">
      <c r="A8" s="137" t="s">
        <v>91</v>
      </c>
      <c r="B8" s="115"/>
      <c r="C8" s="115"/>
      <c r="D8" s="115"/>
      <c r="E8" s="115"/>
      <c r="F8" s="115"/>
      <c r="G8" s="115"/>
      <c r="H8" s="115"/>
      <c r="I8" s="115"/>
      <c r="J8" s="115"/>
    </row>
    <row r="9" spans="1:10" ht="12.75">
      <c r="A9" s="177" t="s">
        <v>139</v>
      </c>
      <c r="B9" s="141">
        <v>4</v>
      </c>
      <c r="C9" s="141">
        <v>40</v>
      </c>
      <c r="D9" s="141">
        <v>2044</v>
      </c>
      <c r="E9" s="141">
        <v>805</v>
      </c>
      <c r="F9" s="141">
        <v>2571</v>
      </c>
      <c r="G9" s="141">
        <v>2209</v>
      </c>
      <c r="H9" s="141">
        <v>3</v>
      </c>
      <c r="I9" s="141">
        <f>SUM(B9:H9)</f>
        <v>7676</v>
      </c>
      <c r="J9" s="115"/>
    </row>
    <row r="10" spans="1:10" ht="12.75">
      <c r="A10" s="177" t="s">
        <v>140</v>
      </c>
      <c r="B10" s="139">
        <f>B9/$I9</f>
        <v>0.0005211047420531526</v>
      </c>
      <c r="C10" s="139">
        <f>C9/$I9</f>
        <v>0.005211047420531527</v>
      </c>
      <c r="D10" s="139">
        <f>D9/$I9</f>
        <v>0.266284523189161</v>
      </c>
      <c r="E10" s="139">
        <f>E9/$I9</f>
        <v>0.10487232933819697</v>
      </c>
      <c r="F10" s="139">
        <f>F9/$I9</f>
        <v>0.3349400729546639</v>
      </c>
      <c r="G10" s="139">
        <f>G9/$I9</f>
        <v>0.28778009379885355</v>
      </c>
      <c r="H10" s="139">
        <f>H9/$I9</f>
        <v>0.0003908285565398645</v>
      </c>
      <c r="I10" s="139">
        <f>SUM(B10:G10)</f>
        <v>0.9996091714434601</v>
      </c>
      <c r="J10" s="115"/>
    </row>
    <row r="11" spans="1:10" ht="12.75">
      <c r="A11" s="177" t="s">
        <v>141</v>
      </c>
      <c r="B11" s="139">
        <f>B9/B30</f>
        <v>0.002976190476190476</v>
      </c>
      <c r="C11" s="139">
        <f aca="true" t="shared" si="1" ref="C11:I11">C9/C30</f>
        <v>0.004242231413723619</v>
      </c>
      <c r="D11" s="139">
        <f t="shared" si="1"/>
        <v>0.2689119852650967</v>
      </c>
      <c r="E11" s="139">
        <f t="shared" si="1"/>
        <v>0.05352393617021277</v>
      </c>
      <c r="F11" s="139">
        <f t="shared" si="1"/>
        <v>0.31365133585458094</v>
      </c>
      <c r="G11" s="139">
        <f t="shared" si="1"/>
        <v>0.1393251340271208</v>
      </c>
      <c r="H11" s="139">
        <f>H9/H30</f>
        <v>0.0013654984069185253</v>
      </c>
      <c r="I11" s="139">
        <f t="shared" si="1"/>
        <v>0.12865595092435847</v>
      </c>
      <c r="J11" s="115"/>
    </row>
    <row r="12" spans="1:10" ht="12.75">
      <c r="A12" s="178" t="s">
        <v>92</v>
      </c>
      <c r="B12" s="115"/>
      <c r="C12" s="115"/>
      <c r="D12" s="115"/>
      <c r="E12" s="115"/>
      <c r="F12" s="115"/>
      <c r="G12" s="115"/>
      <c r="H12" s="115"/>
      <c r="I12" s="115"/>
      <c r="J12" s="115"/>
    </row>
    <row r="13" spans="1:10" ht="12.75">
      <c r="A13" s="177" t="s">
        <v>139</v>
      </c>
      <c r="B13" s="141">
        <v>903</v>
      </c>
      <c r="C13" s="141">
        <v>1645</v>
      </c>
      <c r="D13" s="141">
        <v>309</v>
      </c>
      <c r="E13" s="141">
        <v>817</v>
      </c>
      <c r="F13" s="141">
        <v>602</v>
      </c>
      <c r="G13" s="141">
        <v>1788</v>
      </c>
      <c r="H13" s="141">
        <v>399</v>
      </c>
      <c r="I13" s="141">
        <f>SUM(B13:H13)</f>
        <v>6463</v>
      </c>
      <c r="J13" s="115"/>
    </row>
    <row r="14" spans="1:10" ht="12.75">
      <c r="A14" s="177" t="s">
        <v>140</v>
      </c>
      <c r="B14" s="139">
        <f>B13/$I13</f>
        <v>0.13971839702924338</v>
      </c>
      <c r="C14" s="139">
        <f>C13/$I13</f>
        <v>0.25452576203001703</v>
      </c>
      <c r="D14" s="139">
        <f>D13/$I13</f>
        <v>0.047810614265820825</v>
      </c>
      <c r="E14" s="139">
        <f>E13/$I13</f>
        <v>0.1264118830264583</v>
      </c>
      <c r="F14" s="139">
        <f>F13/$I13</f>
        <v>0.0931455980194956</v>
      </c>
      <c r="G14" s="139">
        <f>G13/$I13</f>
        <v>0.27665170973232245</v>
      </c>
      <c r="H14" s="139">
        <f>H13/$I13</f>
        <v>0.06173603589664243</v>
      </c>
      <c r="I14" s="139">
        <f>SUM(B14:G14)</f>
        <v>0.9382639641033577</v>
      </c>
      <c r="J14" s="115"/>
    </row>
    <row r="15" spans="1:10" ht="12.75">
      <c r="A15" s="177" t="s">
        <v>141</v>
      </c>
      <c r="B15" s="139">
        <f>B13/B30</f>
        <v>0.671875</v>
      </c>
      <c r="C15" s="139">
        <f aca="true" t="shared" si="2" ref="C15:I15">C13/C30</f>
        <v>0.1744617668893838</v>
      </c>
      <c r="D15" s="139">
        <f t="shared" si="2"/>
        <v>0.04065254571766873</v>
      </c>
      <c r="E15" s="139">
        <f t="shared" si="2"/>
        <v>0.054321808510638295</v>
      </c>
      <c r="F15" s="139">
        <f t="shared" si="2"/>
        <v>0.07344150298889837</v>
      </c>
      <c r="G15" s="139">
        <f t="shared" si="2"/>
        <v>0.11277199621570483</v>
      </c>
      <c r="H15" s="139">
        <f>H13/H30</f>
        <v>0.18161128812016386</v>
      </c>
      <c r="I15" s="139">
        <f t="shared" si="2"/>
        <v>0.10832509260345607</v>
      </c>
      <c r="J15" s="115"/>
    </row>
    <row r="16" spans="1:10" ht="12.75">
      <c r="A16" s="178" t="s">
        <v>93</v>
      </c>
      <c r="B16" s="115"/>
      <c r="C16" s="115"/>
      <c r="D16" s="115"/>
      <c r="E16" s="115"/>
      <c r="F16" s="115"/>
      <c r="G16" s="115"/>
      <c r="H16" s="115"/>
      <c r="I16" s="115"/>
      <c r="J16" s="115"/>
    </row>
    <row r="17" spans="1:10" ht="12.75">
      <c r="A17" s="177" t="s">
        <v>139</v>
      </c>
      <c r="B17" s="141">
        <v>104</v>
      </c>
      <c r="C17" s="141">
        <v>1651</v>
      </c>
      <c r="D17" s="141">
        <v>383</v>
      </c>
      <c r="E17" s="141">
        <v>587</v>
      </c>
      <c r="F17" s="141">
        <v>444</v>
      </c>
      <c r="G17" s="141">
        <v>1965</v>
      </c>
      <c r="H17" s="141">
        <v>521</v>
      </c>
      <c r="I17" s="141">
        <f>SUM(B17:H17)</f>
        <v>5655</v>
      </c>
      <c r="J17" s="115"/>
    </row>
    <row r="18" spans="1:10" ht="12.75">
      <c r="A18" s="177" t="s">
        <v>140</v>
      </c>
      <c r="B18" s="139">
        <f>B17/$I17</f>
        <v>0.01839080459770115</v>
      </c>
      <c r="C18" s="139">
        <f>C17/$I17</f>
        <v>0.29195402298850576</v>
      </c>
      <c r="D18" s="139">
        <f>D17/$I17</f>
        <v>0.06772767462422635</v>
      </c>
      <c r="E18" s="139">
        <f>E17/$I17</f>
        <v>0.10380194518125553</v>
      </c>
      <c r="F18" s="139">
        <f>F17/$I17</f>
        <v>0.07851458885941645</v>
      </c>
      <c r="G18" s="139">
        <f>G17/$I17</f>
        <v>0.34748010610079577</v>
      </c>
      <c r="H18" s="139">
        <f>H17/$I17</f>
        <v>0.09213085764809903</v>
      </c>
      <c r="I18" s="139">
        <f>SUM(B18:G18)</f>
        <v>0.907869142351901</v>
      </c>
      <c r="J18" s="115"/>
    </row>
    <row r="19" spans="1:10" ht="12.75">
      <c r="A19" s="177" t="s">
        <v>141</v>
      </c>
      <c r="B19" s="139">
        <f>B17/B$30</f>
        <v>0.07738095238095238</v>
      </c>
      <c r="C19" s="139">
        <f aca="true" t="shared" si="3" ref="C19:I19">C17/C$30</f>
        <v>0.17509810160144235</v>
      </c>
      <c r="D19" s="139">
        <f t="shared" si="3"/>
        <v>0.050388106828048944</v>
      </c>
      <c r="E19" s="139">
        <f t="shared" si="3"/>
        <v>0.039029255319148935</v>
      </c>
      <c r="F19" s="139">
        <f t="shared" si="3"/>
        <v>0.05416615835061608</v>
      </c>
      <c r="G19" s="139">
        <f t="shared" si="3"/>
        <v>0.1239356669820246</v>
      </c>
      <c r="H19" s="139">
        <f>H17/H$30</f>
        <v>0.2371415566681839</v>
      </c>
      <c r="I19" s="139">
        <f t="shared" si="3"/>
        <v>0.09478236092720782</v>
      </c>
      <c r="J19" s="115"/>
    </row>
    <row r="20" spans="1:10" ht="12.75">
      <c r="A20" s="178" t="s">
        <v>94</v>
      </c>
      <c r="B20" s="115"/>
      <c r="C20" s="115"/>
      <c r="D20" s="115"/>
      <c r="E20" s="115"/>
      <c r="F20" s="115"/>
      <c r="G20" s="115"/>
      <c r="H20" s="115"/>
      <c r="I20" s="115"/>
      <c r="J20" s="115"/>
    </row>
    <row r="21" spans="1:10" ht="12.75">
      <c r="A21" s="177" t="s">
        <v>139</v>
      </c>
      <c r="B21" s="141">
        <v>75</v>
      </c>
      <c r="C21" s="141">
        <v>48</v>
      </c>
      <c r="D21" s="141">
        <v>416</v>
      </c>
      <c r="E21" s="141">
        <v>855</v>
      </c>
      <c r="F21" s="141">
        <v>139</v>
      </c>
      <c r="G21" s="141">
        <v>797</v>
      </c>
      <c r="H21" s="141">
        <v>189</v>
      </c>
      <c r="I21" s="141">
        <f>SUM(B21:H21)</f>
        <v>2519</v>
      </c>
      <c r="J21" s="115"/>
    </row>
    <row r="22" spans="1:10" ht="12.75">
      <c r="A22" s="177" t="s">
        <v>140</v>
      </c>
      <c r="B22" s="139">
        <f>B21/$I21</f>
        <v>0.029773719730051607</v>
      </c>
      <c r="C22" s="139">
        <f aca="true" t="shared" si="4" ref="C22:I22">C21/$I21</f>
        <v>0.019055180627233027</v>
      </c>
      <c r="D22" s="139">
        <f t="shared" si="4"/>
        <v>0.16514489876935293</v>
      </c>
      <c r="E22" s="139">
        <f t="shared" si="4"/>
        <v>0.33942040492258835</v>
      </c>
      <c r="F22" s="139">
        <f t="shared" si="4"/>
        <v>0.05518062723302898</v>
      </c>
      <c r="G22" s="139">
        <f t="shared" si="4"/>
        <v>0.3163953949980151</v>
      </c>
      <c r="H22" s="139">
        <f>H21/$I21</f>
        <v>0.07502977371973005</v>
      </c>
      <c r="I22" s="139">
        <f t="shared" si="4"/>
        <v>1</v>
      </c>
      <c r="J22" s="115"/>
    </row>
    <row r="23" spans="1:10" ht="12.75">
      <c r="A23" s="177" t="s">
        <v>141</v>
      </c>
      <c r="B23" s="139">
        <f>B21/B30</f>
        <v>0.05580357142857143</v>
      </c>
      <c r="C23" s="139">
        <f aca="true" t="shared" si="5" ref="C23:I23">C21/C30</f>
        <v>0.005090677696468342</v>
      </c>
      <c r="D23" s="139">
        <f t="shared" si="5"/>
        <v>0.054729640836732006</v>
      </c>
      <c r="E23" s="139">
        <f t="shared" si="5"/>
        <v>0.056848404255319146</v>
      </c>
      <c r="F23" s="139">
        <f t="shared" si="5"/>
        <v>0.01695742344760278</v>
      </c>
      <c r="G23" s="139">
        <f t="shared" si="5"/>
        <v>0.05026805424156418</v>
      </c>
      <c r="H23" s="139">
        <f>H21/H30</f>
        <v>0.08602639963586708</v>
      </c>
      <c r="I23" s="139">
        <f t="shared" si="5"/>
        <v>0.04222047164909575</v>
      </c>
      <c r="J23" s="115"/>
    </row>
    <row r="24" spans="1:10" ht="12.75">
      <c r="A24" s="115"/>
      <c r="B24" s="115"/>
      <c r="C24" s="115"/>
      <c r="D24" s="115"/>
      <c r="E24" s="115"/>
      <c r="F24" s="115"/>
      <c r="G24" s="115"/>
      <c r="H24" s="115"/>
      <c r="I24" s="115"/>
      <c r="J24" s="115"/>
    </row>
    <row r="25" spans="1:10" ht="12.75">
      <c r="A25" s="137" t="s">
        <v>142</v>
      </c>
      <c r="B25" s="115"/>
      <c r="C25" s="115"/>
      <c r="D25" s="115"/>
      <c r="E25" s="154"/>
      <c r="F25" s="154"/>
      <c r="G25" s="154"/>
      <c r="H25" s="154"/>
      <c r="I25" s="154"/>
      <c r="J25" s="115"/>
    </row>
    <row r="26" spans="1:10" ht="12.75">
      <c r="A26" s="177" t="s">
        <v>139</v>
      </c>
      <c r="B26" s="179">
        <f>B30-B21-B17-B13-B9-B5</f>
        <v>197</v>
      </c>
      <c r="C26" s="179">
        <f aca="true" t="shared" si="6" ref="C26:H26">C30-C21-C17-C13-C9-C5</f>
        <v>3550</v>
      </c>
      <c r="D26" s="179">
        <f t="shared" si="6"/>
        <v>1916</v>
      </c>
      <c r="E26" s="179">
        <f t="shared" si="6"/>
        <v>6287</v>
      </c>
      <c r="F26" s="179">
        <f t="shared" si="6"/>
        <v>2258</v>
      </c>
      <c r="G26" s="179">
        <f t="shared" si="6"/>
        <v>5838</v>
      </c>
      <c r="H26" s="179">
        <f t="shared" si="6"/>
        <v>473</v>
      </c>
      <c r="I26" s="141">
        <f>SUM(B26:H26)</f>
        <v>20519</v>
      </c>
      <c r="J26" s="115"/>
    </row>
    <row r="27" spans="1:10" ht="12.75">
      <c r="A27" s="177" t="s">
        <v>140</v>
      </c>
      <c r="B27" s="139">
        <f>B26/$I26</f>
        <v>0.009600857741605342</v>
      </c>
      <c r="C27" s="139">
        <f>C26/$I26</f>
        <v>0.17301038062283736</v>
      </c>
      <c r="D27" s="139">
        <f>D26/$I26</f>
        <v>0.09337687021784688</v>
      </c>
      <c r="E27" s="139">
        <f>E26/$I26</f>
        <v>0.3063989473171207</v>
      </c>
      <c r="F27" s="139">
        <f>F26/$I26</f>
        <v>0.11004434913982163</v>
      </c>
      <c r="G27" s="139">
        <f>G26/$I26</f>
        <v>0.2845167893172182</v>
      </c>
      <c r="H27" s="139">
        <f>H26/$I26</f>
        <v>0.02305180564354988</v>
      </c>
      <c r="I27" s="139">
        <f>SUM(B27:G27)</f>
        <v>0.9769481943564502</v>
      </c>
      <c r="J27" s="115"/>
    </row>
    <row r="28" spans="1:10" ht="12.75">
      <c r="A28" s="177" t="s">
        <v>141</v>
      </c>
      <c r="B28" s="139">
        <f>B26/B30</f>
        <v>0.14657738095238096</v>
      </c>
      <c r="C28" s="139">
        <f aca="true" t="shared" si="7" ref="C28:I28">C26/C30</f>
        <v>0.37649803796797116</v>
      </c>
      <c r="D28" s="139">
        <f t="shared" si="7"/>
        <v>0.25207209577687145</v>
      </c>
      <c r="E28" s="139">
        <f t="shared" si="7"/>
        <v>0.4180186170212766</v>
      </c>
      <c r="F28" s="139">
        <f t="shared" si="7"/>
        <v>0.27546663413443945</v>
      </c>
      <c r="G28" s="139">
        <f t="shared" si="7"/>
        <v>0.36821192052980134</v>
      </c>
      <c r="H28" s="139">
        <f>H26/H30</f>
        <v>0.21529358215748748</v>
      </c>
      <c r="I28" s="139">
        <f t="shared" si="7"/>
        <v>0.34391498918927976</v>
      </c>
      <c r="J28" s="115"/>
    </row>
    <row r="29" spans="1:10" ht="12.75">
      <c r="A29" s="137" t="s">
        <v>137</v>
      </c>
      <c r="B29" s="115"/>
      <c r="C29" s="115"/>
      <c r="D29" s="115"/>
      <c r="E29" s="115"/>
      <c r="F29" s="115"/>
      <c r="G29" s="115"/>
      <c r="H29" s="115"/>
      <c r="I29" s="115"/>
      <c r="J29" s="115"/>
    </row>
    <row r="30" spans="1:10" ht="12.75">
      <c r="A30" s="177" t="s">
        <v>139</v>
      </c>
      <c r="B30" s="141">
        <v>1344</v>
      </c>
      <c r="C30" s="141">
        <v>9429</v>
      </c>
      <c r="D30" s="141">
        <v>7601</v>
      </c>
      <c r="E30" s="141">
        <v>15040</v>
      </c>
      <c r="F30" s="141">
        <v>8197</v>
      </c>
      <c r="G30" s="141">
        <v>15855</v>
      </c>
      <c r="H30" s="141">
        <v>2197</v>
      </c>
      <c r="I30" s="141">
        <f>SUM(B30:H30)</f>
        <v>59663</v>
      </c>
      <c r="J30" s="115"/>
    </row>
    <row r="31" spans="1:10" ht="12.75">
      <c r="A31" s="177" t="s">
        <v>140</v>
      </c>
      <c r="B31" s="139">
        <f>B30/$I30</f>
        <v>0.022526523976333743</v>
      </c>
      <c r="C31" s="139">
        <f>C30/$I30</f>
        <v>0.1580376447714664</v>
      </c>
      <c r="D31" s="139">
        <f>D30/$I30</f>
        <v>0.12739889043460773</v>
      </c>
      <c r="E31" s="139">
        <f>E30/$I30</f>
        <v>0.2520825302113538</v>
      </c>
      <c r="F31" s="139">
        <f>F30/$I30</f>
        <v>0.13738833112649382</v>
      </c>
      <c r="G31" s="139">
        <f>G30/$I30</f>
        <v>0.2657425875333121</v>
      </c>
      <c r="H31" s="139">
        <f>H30/$I30</f>
        <v>0.03682349194643246</v>
      </c>
      <c r="I31" s="139">
        <f>SUM(B31:G31)</f>
        <v>0.9631765080535677</v>
      </c>
      <c r="J31" s="115"/>
    </row>
    <row r="32" spans="1:10" ht="12.75">
      <c r="A32" s="177" t="s">
        <v>141</v>
      </c>
      <c r="B32" s="139">
        <f>(B26+B21+B17+B13+B9+B5)/B30</f>
        <v>1</v>
      </c>
      <c r="C32" s="139">
        <f aca="true" t="shared" si="8" ref="C32:I32">(C26+C21+C17+C13+C9+C5)/C30</f>
        <v>1</v>
      </c>
      <c r="D32" s="139">
        <f t="shared" si="8"/>
        <v>1</v>
      </c>
      <c r="E32" s="139">
        <f t="shared" si="8"/>
        <v>1</v>
      </c>
      <c r="F32" s="139">
        <f t="shared" si="8"/>
        <v>1</v>
      </c>
      <c r="G32" s="139">
        <f t="shared" si="8"/>
        <v>1</v>
      </c>
      <c r="H32" s="139">
        <f>(H26+H21+H17+H13+H9+H5)/H30</f>
        <v>1</v>
      </c>
      <c r="I32" s="139">
        <f t="shared" si="8"/>
        <v>1</v>
      </c>
      <c r="J32" s="115"/>
    </row>
    <row r="33" spans="1:10" ht="12.75">
      <c r="A33" s="115"/>
      <c r="B33" s="154"/>
      <c r="C33" s="115"/>
      <c r="D33" s="115"/>
      <c r="E33" s="154"/>
      <c r="F33" s="154"/>
      <c r="G33" s="115"/>
      <c r="H33" s="115"/>
      <c r="I33" s="115"/>
      <c r="J33" s="115"/>
    </row>
  </sheetData>
  <mergeCells count="1">
    <mergeCell ref="A2:J2"/>
  </mergeCells>
  <printOptions/>
  <pageMargins left="0.7000000476837158" right="0.7000000476837158" top="0.75" bottom="0.75" header="0.30000001192092896" footer="0.30000001192092896"/>
  <pageSetup firstPageNumber="1" useFirstPageNumber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2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20.296875" style="180" customWidth="1"/>
    <col min="2" max="2" width="27" style="180" customWidth="1"/>
    <col min="3" max="8" width="7.59765625" style="180" customWidth="1"/>
    <col min="9" max="256" width="10.296875" style="180" customWidth="1"/>
  </cols>
  <sheetData>
    <row r="1" spans="1:8" ht="25.5" customHeight="1">
      <c r="A1" s="181" t="s">
        <v>143</v>
      </c>
      <c r="B1" s="181"/>
      <c r="C1" s="181"/>
      <c r="D1" s="181"/>
      <c r="E1" s="181"/>
      <c r="F1" s="181"/>
      <c r="G1" s="181"/>
      <c r="H1" s="181"/>
    </row>
    <row r="2" spans="1:8" ht="12.75">
      <c r="A2" s="115"/>
      <c r="B2" s="115"/>
      <c r="C2" s="120"/>
      <c r="D2" s="120"/>
      <c r="E2" s="120"/>
      <c r="F2" s="120"/>
      <c r="G2" s="120"/>
      <c r="H2" s="120"/>
    </row>
    <row r="3" spans="1:8" ht="13.5">
      <c r="A3" s="115"/>
      <c r="B3" s="121"/>
      <c r="C3" s="182">
        <v>2007</v>
      </c>
      <c r="D3" s="182">
        <v>2008</v>
      </c>
      <c r="E3" s="182">
        <v>2009</v>
      </c>
      <c r="F3" s="182">
        <v>2010</v>
      </c>
      <c r="G3" s="182">
        <v>2011</v>
      </c>
      <c r="H3" s="182">
        <v>2012</v>
      </c>
    </row>
    <row r="4" spans="1:8" ht="12.75">
      <c r="A4" s="115"/>
      <c r="B4" s="115"/>
      <c r="C4" s="127"/>
      <c r="D4" s="127"/>
      <c r="E4" s="127"/>
      <c r="F4" s="127"/>
      <c r="G4" s="127"/>
      <c r="H4" s="127"/>
    </row>
    <row r="5" spans="1:8" ht="12.75">
      <c r="A5" s="137" t="s">
        <v>144</v>
      </c>
      <c r="B5" s="115" t="s">
        <v>145</v>
      </c>
      <c r="C5" s="183">
        <v>1448</v>
      </c>
      <c r="D5" s="183">
        <v>1055</v>
      </c>
      <c r="E5" s="183">
        <v>1106</v>
      </c>
      <c r="F5" s="184">
        <v>1152</v>
      </c>
      <c r="G5" s="183">
        <v>857</v>
      </c>
      <c r="H5" s="183">
        <v>812</v>
      </c>
    </row>
    <row r="6" spans="1:8" ht="12.75">
      <c r="A6" s="137"/>
      <c r="B6" s="115" t="s">
        <v>146</v>
      </c>
      <c r="C6" s="183">
        <v>1018</v>
      </c>
      <c r="D6" s="183">
        <v>1186</v>
      </c>
      <c r="E6" s="183">
        <v>737</v>
      </c>
      <c r="F6" s="184">
        <v>807</v>
      </c>
      <c r="G6" s="183">
        <v>747</v>
      </c>
      <c r="H6" s="183">
        <v>532</v>
      </c>
    </row>
    <row r="7" spans="1:8" ht="12.75">
      <c r="A7" s="137"/>
      <c r="B7" s="115" t="s">
        <v>147</v>
      </c>
      <c r="C7" s="183">
        <v>2466</v>
      </c>
      <c r="D7" s="183">
        <v>2241</v>
      </c>
      <c r="E7" s="183">
        <v>1843</v>
      </c>
      <c r="F7" s="183">
        <v>1959</v>
      </c>
      <c r="G7" s="183">
        <v>1604</v>
      </c>
      <c r="H7" s="183">
        <f>SUM(H5:H6)</f>
        <v>1344</v>
      </c>
    </row>
    <row r="8" spans="1:8" ht="12.75">
      <c r="A8" s="137"/>
      <c r="B8" s="115" t="s">
        <v>148</v>
      </c>
      <c r="C8" s="185">
        <v>0.5871857258718572</v>
      </c>
      <c r="D8" s="185">
        <v>0.4707719767960732</v>
      </c>
      <c r="E8" s="185">
        <v>0.6001085187194791</v>
      </c>
      <c r="F8" s="185">
        <v>0.5880551301684533</v>
      </c>
      <c r="G8" s="185">
        <v>0.53428927680798</v>
      </c>
      <c r="H8" s="185">
        <f>H5/H7</f>
        <v>0.6041666666666666</v>
      </c>
    </row>
    <row r="9" spans="1:8" ht="12.75">
      <c r="A9" s="137"/>
      <c r="B9" s="137"/>
      <c r="C9" s="154"/>
      <c r="D9" s="154"/>
      <c r="E9" s="154"/>
      <c r="F9" s="154"/>
      <c r="G9" s="115"/>
      <c r="H9" s="115"/>
    </row>
    <row r="10" spans="1:8" ht="12.75">
      <c r="A10" s="137" t="s">
        <v>149</v>
      </c>
      <c r="B10" s="115" t="s">
        <v>145</v>
      </c>
      <c r="C10" s="183">
        <v>4304</v>
      </c>
      <c r="D10" s="183">
        <v>3751</v>
      </c>
      <c r="E10" s="183">
        <v>4654</v>
      </c>
      <c r="F10" s="184">
        <v>4800</v>
      </c>
      <c r="G10" s="183">
        <v>4477</v>
      </c>
      <c r="H10" s="183">
        <v>5024</v>
      </c>
    </row>
    <row r="11" spans="1:8" ht="12.75">
      <c r="A11" s="115"/>
      <c r="B11" s="115" t="s">
        <v>146</v>
      </c>
      <c r="C11" s="183">
        <v>4878</v>
      </c>
      <c r="D11" s="183">
        <v>5118</v>
      </c>
      <c r="E11" s="183">
        <v>4514</v>
      </c>
      <c r="F11" s="184">
        <v>4758</v>
      </c>
      <c r="G11" s="183">
        <v>4842</v>
      </c>
      <c r="H11" s="183">
        <v>4405</v>
      </c>
    </row>
    <row r="12" spans="1:8" ht="12.75">
      <c r="A12" s="115"/>
      <c r="B12" s="115" t="s">
        <v>150</v>
      </c>
      <c r="C12" s="183">
        <v>9182</v>
      </c>
      <c r="D12" s="183">
        <v>8869</v>
      </c>
      <c r="E12" s="183">
        <v>9168</v>
      </c>
      <c r="F12" s="183">
        <v>9558</v>
      </c>
      <c r="G12" s="183">
        <v>9319</v>
      </c>
      <c r="H12" s="183">
        <f>SUM(H10:H11)</f>
        <v>9429</v>
      </c>
    </row>
    <row r="13" spans="1:8" ht="12.75">
      <c r="A13" s="137"/>
      <c r="B13" s="115" t="s">
        <v>148</v>
      </c>
      <c r="C13" s="185">
        <v>0.46874319320409497</v>
      </c>
      <c r="D13" s="185">
        <v>0.4229338144097418</v>
      </c>
      <c r="E13" s="185">
        <v>0.5076352530541012</v>
      </c>
      <c r="F13" s="185">
        <v>0.5021971123666039</v>
      </c>
      <c r="G13" s="185">
        <v>0.4804163536860178</v>
      </c>
      <c r="H13" s="185">
        <f>H10/H12</f>
        <v>0.5328242655636864</v>
      </c>
    </row>
    <row r="14" spans="1:8" ht="12.75">
      <c r="A14" s="115"/>
      <c r="B14" s="115"/>
      <c r="C14" s="154"/>
      <c r="D14" s="154"/>
      <c r="E14" s="154"/>
      <c r="F14" s="154"/>
      <c r="G14" s="115"/>
      <c r="H14" s="115"/>
    </row>
    <row r="15" spans="1:8" ht="12.75">
      <c r="A15" s="137" t="s">
        <v>42</v>
      </c>
      <c r="B15" s="115" t="s">
        <v>145</v>
      </c>
      <c r="C15" s="183">
        <v>2407</v>
      </c>
      <c r="D15" s="183">
        <v>2567</v>
      </c>
      <c r="E15" s="183">
        <v>2453</v>
      </c>
      <c r="F15" s="184">
        <v>2818</v>
      </c>
      <c r="G15" s="183">
        <v>2420</v>
      </c>
      <c r="H15" s="183">
        <v>2567</v>
      </c>
    </row>
    <row r="16" spans="1:8" ht="12.75">
      <c r="A16" s="115"/>
      <c r="B16" s="115" t="s">
        <v>146</v>
      </c>
      <c r="C16" s="183">
        <v>4117</v>
      </c>
      <c r="D16" s="183">
        <v>3505</v>
      </c>
      <c r="E16" s="183">
        <v>3933</v>
      </c>
      <c r="F16" s="184">
        <v>4547</v>
      </c>
      <c r="G16" s="183">
        <v>5114</v>
      </c>
      <c r="H16" s="183">
        <v>5034</v>
      </c>
    </row>
    <row r="17" spans="1:8" ht="12.75">
      <c r="A17" s="115"/>
      <c r="B17" s="115" t="s">
        <v>151</v>
      </c>
      <c r="C17" s="183">
        <f>SUM(C15:C16)</f>
        <v>6524</v>
      </c>
      <c r="D17" s="183">
        <f>SUM(D15:D16)</f>
        <v>6072</v>
      </c>
      <c r="E17" s="183">
        <f>SUM(E15:E16)</f>
        <v>6386</v>
      </c>
      <c r="F17" s="183">
        <f>SUM(F15:F16)</f>
        <v>7365</v>
      </c>
      <c r="G17" s="183">
        <f>SUM(G15:G16)</f>
        <v>7534</v>
      </c>
      <c r="H17" s="183">
        <f>SUM(H15:H16)</f>
        <v>7601</v>
      </c>
    </row>
    <row r="18" spans="1:8" ht="12.75">
      <c r="A18" s="115"/>
      <c r="B18" s="115" t="s">
        <v>148</v>
      </c>
      <c r="C18" s="185">
        <v>0.3689454322501533</v>
      </c>
      <c r="D18" s="185">
        <v>0.42345760475090727</v>
      </c>
      <c r="E18" s="185">
        <v>0.3817588564325668</v>
      </c>
      <c r="F18" s="185">
        <v>0.3826205023761032</v>
      </c>
      <c r="G18" s="185">
        <v>0.32121051234404036</v>
      </c>
      <c r="H18" s="185">
        <f>H15/H17</f>
        <v>0.33771872122089197</v>
      </c>
    </row>
    <row r="19" spans="1:8" ht="12.75">
      <c r="A19" s="137"/>
      <c r="B19" s="115"/>
      <c r="C19" s="154"/>
      <c r="D19" s="154"/>
      <c r="E19" s="154"/>
      <c r="F19" s="154"/>
      <c r="G19" s="115"/>
      <c r="H19" s="115"/>
    </row>
    <row r="20" spans="1:8" ht="12.75">
      <c r="A20" s="137" t="s">
        <v>44</v>
      </c>
      <c r="B20" s="115" t="s">
        <v>145</v>
      </c>
      <c r="C20" s="183">
        <v>4131</v>
      </c>
      <c r="D20" s="183">
        <v>3978</v>
      </c>
      <c r="E20" s="183">
        <v>4726</v>
      </c>
      <c r="F20" s="184">
        <v>5021</v>
      </c>
      <c r="G20" s="183">
        <v>4531</v>
      </c>
      <c r="H20" s="183">
        <v>4158</v>
      </c>
    </row>
    <row r="21" spans="1:8" ht="12.75">
      <c r="A21" s="137"/>
      <c r="B21" s="115" t="s">
        <v>146</v>
      </c>
      <c r="C21" s="183">
        <v>13607</v>
      </c>
      <c r="D21" s="183">
        <v>10837</v>
      </c>
      <c r="E21" s="183">
        <v>10153</v>
      </c>
      <c r="F21" s="184">
        <v>10404</v>
      </c>
      <c r="G21" s="183">
        <v>10366</v>
      </c>
      <c r="H21" s="183">
        <v>10522</v>
      </c>
    </row>
    <row r="22" spans="1:8" ht="12.75">
      <c r="A22" s="137"/>
      <c r="B22" s="115" t="s">
        <v>152</v>
      </c>
      <c r="C22" s="183">
        <f>SUM(C20:C21)</f>
        <v>17738</v>
      </c>
      <c r="D22" s="183">
        <f>SUM(D20:D21)</f>
        <v>14815</v>
      </c>
      <c r="E22" s="183">
        <f>SUM(E20:E21)</f>
        <v>14879</v>
      </c>
      <c r="F22" s="183">
        <f>SUM(F20:F21)</f>
        <v>15425</v>
      </c>
      <c r="G22" s="183">
        <f>SUM(G20:G21)</f>
        <v>14897</v>
      </c>
      <c r="H22" s="183">
        <f>SUM(H20:H21)</f>
        <v>14680</v>
      </c>
    </row>
    <row r="23" spans="1:8" ht="12.75">
      <c r="A23" s="137"/>
      <c r="B23" s="115" t="s">
        <v>148</v>
      </c>
      <c r="C23" s="185">
        <v>0.23288984101928065</v>
      </c>
      <c r="D23" s="185">
        <v>0.26438920643360364</v>
      </c>
      <c r="E23" s="185">
        <v>0.3129427341939755</v>
      </c>
      <c r="F23" s="185">
        <v>0.32551053484602915</v>
      </c>
      <c r="G23" s="185">
        <v>0.3041551990333624</v>
      </c>
      <c r="H23" s="185">
        <f>H20/H22</f>
        <v>0.2832425068119891</v>
      </c>
    </row>
    <row r="24" spans="1:8" ht="12.75">
      <c r="A24" s="137"/>
      <c r="B24" s="140"/>
      <c r="C24" s="154"/>
      <c r="D24" s="154"/>
      <c r="E24" s="154"/>
      <c r="F24" s="154"/>
      <c r="G24" s="115"/>
      <c r="H24" s="115"/>
    </row>
    <row r="25" spans="1:8" ht="12.75">
      <c r="A25" s="137" t="s">
        <v>153</v>
      </c>
      <c r="B25" s="115" t="s">
        <v>145</v>
      </c>
      <c r="C25" s="183">
        <v>1253</v>
      </c>
      <c r="D25" s="183">
        <v>1585</v>
      </c>
      <c r="E25" s="183">
        <v>1915</v>
      </c>
      <c r="F25" s="184">
        <v>1909</v>
      </c>
      <c r="G25" s="183">
        <v>2155</v>
      </c>
      <c r="H25" s="183">
        <v>2600</v>
      </c>
    </row>
    <row r="26" spans="1:8" ht="12.75">
      <c r="A26" s="137"/>
      <c r="B26" s="115" t="s">
        <v>146</v>
      </c>
      <c r="C26" s="183">
        <v>3384</v>
      </c>
      <c r="D26" s="183">
        <v>3318</v>
      </c>
      <c r="E26" s="183">
        <v>4299</v>
      </c>
      <c r="F26" s="184">
        <v>4620</v>
      </c>
      <c r="G26" s="183">
        <v>5186</v>
      </c>
      <c r="H26" s="183">
        <v>5597</v>
      </c>
    </row>
    <row r="27" spans="1:8" ht="12.75">
      <c r="A27" s="137"/>
      <c r="B27" s="115" t="s">
        <v>154</v>
      </c>
      <c r="C27" s="183">
        <f>SUM(C25:C26)</f>
        <v>4637</v>
      </c>
      <c r="D27" s="183">
        <f>SUM(D25:D26)</f>
        <v>4903</v>
      </c>
      <c r="E27" s="183">
        <f>SUM(E25:E26)</f>
        <v>6214</v>
      </c>
      <c r="F27" s="183">
        <f>SUM(F25:F26)</f>
        <v>6529</v>
      </c>
      <c r="G27" s="183">
        <f>SUM(G25:G26)</f>
        <v>7341</v>
      </c>
      <c r="H27" s="183">
        <f>SUM(H25:H26)</f>
        <v>8197</v>
      </c>
    </row>
    <row r="28" spans="1:8" ht="12.75">
      <c r="A28" s="137"/>
      <c r="B28" s="115" t="s">
        <v>148</v>
      </c>
      <c r="C28" s="185">
        <v>0.2702178132413198</v>
      </c>
      <c r="D28" s="185">
        <v>0.3222199634071966</v>
      </c>
      <c r="E28" s="185">
        <v>0.30679269464915093</v>
      </c>
      <c r="F28" s="185">
        <v>0.2923878082401593</v>
      </c>
      <c r="G28" s="185">
        <v>0.2935567361394905</v>
      </c>
      <c r="H28" s="185">
        <f>H25/H27</f>
        <v>0.31718921556667073</v>
      </c>
    </row>
    <row r="29" spans="1:8" ht="12.75">
      <c r="A29" s="115"/>
      <c r="B29" s="115"/>
      <c r="C29" s="154"/>
      <c r="D29" s="154"/>
      <c r="E29" s="154"/>
      <c r="F29" s="154"/>
      <c r="G29" s="115"/>
      <c r="H29" s="115"/>
    </row>
    <row r="30" spans="1:8" ht="12.75">
      <c r="A30" s="137" t="s">
        <v>155</v>
      </c>
      <c r="B30" s="115" t="s">
        <v>145</v>
      </c>
      <c r="C30" s="183" t="s">
        <v>156</v>
      </c>
      <c r="D30" s="183" t="s">
        <v>156</v>
      </c>
      <c r="E30" s="183" t="s">
        <v>156</v>
      </c>
      <c r="F30" s="183" t="s">
        <v>156</v>
      </c>
      <c r="G30" s="183">
        <v>11096</v>
      </c>
      <c r="H30" s="115">
        <v>9303</v>
      </c>
    </row>
    <row r="31" spans="1:8" ht="12.75">
      <c r="A31" s="115"/>
      <c r="B31" s="115" t="s">
        <v>146</v>
      </c>
      <c r="C31" s="183"/>
      <c r="D31" s="183"/>
      <c r="E31" s="183"/>
      <c r="F31" s="183"/>
      <c r="G31" s="183">
        <v>6317</v>
      </c>
      <c r="H31" s="115">
        <v>6552</v>
      </c>
    </row>
    <row r="32" spans="1:8" ht="12.75">
      <c r="A32" s="115"/>
      <c r="B32" s="115" t="s">
        <v>157</v>
      </c>
      <c r="C32" s="115"/>
      <c r="D32" s="115"/>
      <c r="E32" s="115"/>
      <c r="F32" s="115"/>
      <c r="G32" s="183">
        <v>17413</v>
      </c>
      <c r="H32" s="183">
        <v>17414</v>
      </c>
    </row>
    <row r="33" spans="1:8" ht="12.75">
      <c r="A33" s="115"/>
      <c r="B33" s="115" t="s">
        <v>148</v>
      </c>
      <c r="C33" s="115"/>
      <c r="D33" s="115"/>
      <c r="E33" s="115"/>
      <c r="F33" s="115"/>
      <c r="G33" s="185">
        <v>0.637225061735485</v>
      </c>
      <c r="H33" s="185">
        <f>H30/H32</f>
        <v>0.5342253359366027</v>
      </c>
    </row>
    <row r="34" spans="1:8" ht="12.75">
      <c r="A34" s="115"/>
      <c r="B34" s="115"/>
      <c r="C34" s="115"/>
      <c r="D34" s="115"/>
      <c r="E34" s="115"/>
      <c r="F34" s="115"/>
      <c r="G34" s="115"/>
      <c r="H34" s="115"/>
    </row>
    <row r="35" spans="1:8" ht="12.75">
      <c r="A35" s="137" t="s">
        <v>84</v>
      </c>
      <c r="B35" s="115" t="s">
        <v>145</v>
      </c>
      <c r="C35" s="115" t="s">
        <v>156</v>
      </c>
      <c r="D35" s="115" t="s">
        <v>156</v>
      </c>
      <c r="E35" s="115" t="s">
        <v>156</v>
      </c>
      <c r="F35" s="115" t="s">
        <v>156</v>
      </c>
      <c r="G35" s="183">
        <v>1475</v>
      </c>
      <c r="H35" s="115">
        <v>1894</v>
      </c>
    </row>
    <row r="36" spans="1:8" ht="12.75">
      <c r="A36" s="115"/>
      <c r="B36" s="115" t="s">
        <v>146</v>
      </c>
      <c r="C36" s="115"/>
      <c r="D36" s="115"/>
      <c r="E36" s="115"/>
      <c r="F36" s="115"/>
      <c r="G36" s="183">
        <v>708</v>
      </c>
      <c r="H36" s="115">
        <v>1380</v>
      </c>
    </row>
    <row r="37" spans="1:8" ht="12.75">
      <c r="A37" s="115"/>
      <c r="B37" s="115" t="s">
        <v>158</v>
      </c>
      <c r="C37" s="115"/>
      <c r="D37" s="115"/>
      <c r="E37" s="115"/>
      <c r="F37" s="115"/>
      <c r="G37" s="183">
        <f>SUM(G35:G36)</f>
        <v>2183</v>
      </c>
      <c r="H37" s="183">
        <f>SUM(H35:H36)</f>
        <v>3274</v>
      </c>
    </row>
    <row r="38" spans="1:8" ht="12.75">
      <c r="A38" s="115"/>
      <c r="B38" s="115" t="s">
        <v>148</v>
      </c>
      <c r="C38" s="115"/>
      <c r="D38" s="115"/>
      <c r="E38" s="115"/>
      <c r="F38" s="115"/>
      <c r="G38" s="185">
        <v>0.6756756756756757</v>
      </c>
      <c r="H38" s="185">
        <f>H35/H37</f>
        <v>0.5784972510690287</v>
      </c>
    </row>
    <row r="39" spans="1:8" ht="12.75">
      <c r="A39" s="115"/>
      <c r="B39" s="115"/>
      <c r="C39" s="115"/>
      <c r="D39" s="115"/>
      <c r="E39" s="115"/>
      <c r="F39" s="115"/>
      <c r="G39" s="115"/>
      <c r="H39" s="115"/>
    </row>
    <row r="40" spans="1:8" ht="12.75">
      <c r="A40" s="115"/>
      <c r="B40" s="115"/>
      <c r="C40" s="115"/>
      <c r="D40" s="115"/>
      <c r="E40" s="115"/>
      <c r="F40" s="115"/>
      <c r="G40" s="115"/>
      <c r="H40" s="115"/>
    </row>
    <row r="41" spans="1:8" ht="12.75">
      <c r="A41" s="115" t="s">
        <v>159</v>
      </c>
      <c r="B41" s="115"/>
      <c r="C41" s="115"/>
      <c r="D41" s="115"/>
      <c r="E41" s="115"/>
      <c r="F41" s="115"/>
      <c r="G41" s="115"/>
      <c r="H41" s="115"/>
    </row>
    <row r="42" spans="1:8" ht="12.75">
      <c r="A42" s="115" t="s">
        <v>160</v>
      </c>
      <c r="B42" s="115"/>
      <c r="C42" s="115"/>
      <c r="D42" s="115"/>
      <c r="E42" s="115"/>
      <c r="F42" s="115"/>
      <c r="G42" s="115"/>
      <c r="H42" s="115"/>
    </row>
  </sheetData>
  <printOptions/>
  <pageMargins left="0.7086613774299622" right="0.7086613774299622" top="0.748031497001648" bottom="0.748031497001648" header="0.31496068835258484" footer="0.31496068835258484"/>
  <pageSetup firstPageNumber="1" useFirstPageNumber="1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Ross</dc:creator>
  <cp:keywords/>
  <dc:description/>
  <cp:lastModifiedBy/>
  <cp:category/>
  <cp:version/>
  <cp:contentType/>
  <cp:contentStatus/>
</cp:coreProperties>
</file>